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432.工務部水質課\02_水質課委員会\13_水道用薬品及び資機材の衛生性調査専門委員会\★K113\2-MIB価試験方法の検討\★④最終稿作成と決裁＆発刊作業\HP掲載ファイル\"/>
    </mc:Choice>
  </mc:AlternateContent>
  <xr:revisionPtr revIDLastSave="0" documentId="13_ncr:1_{CAE41D85-7CEB-47E1-80F3-FCC6EED34CE5}" xr6:coauthVersionLast="47" xr6:coauthVersionMax="47" xr10:uidLastSave="{00000000-0000-0000-0000-000000000000}"/>
  <bookViews>
    <workbookView xWindow="-108" yWindow="-108" windowWidth="23256" windowHeight="12456" xr2:uid="{681C9CCD-0964-44D6-9375-D71A00312128}"/>
  </bookViews>
  <sheets>
    <sheet name="2-MIB価計算シート" sheetId="7" r:id="rId1"/>
    <sheet name="sheet1" sheetId="5" r:id="rId2"/>
  </sheets>
  <definedNames>
    <definedName name="_xlnm.Print_Area" localSheetId="0">'2-MIB価計算シート'!$A$1:$K$25</definedName>
    <definedName name="_xlnm.Print_Area" localSheetId="1">sheet1!$A$3:$L$104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7" l="1"/>
  <c r="H14" i="7"/>
  <c r="I14" i="7"/>
  <c r="I13" i="7"/>
  <c r="H9" i="5"/>
  <c r="I9" i="5"/>
  <c r="H10" i="5"/>
  <c r="I10" i="5"/>
  <c r="H11" i="5"/>
  <c r="I11" i="5"/>
  <c r="I8" i="5"/>
  <c r="H8" i="5"/>
  <c r="I7" i="5"/>
  <c r="H7" i="5"/>
  <c r="F8" i="5"/>
  <c r="F9" i="5"/>
  <c r="F10" i="5"/>
  <c r="F7" i="5"/>
  <c r="C7" i="5"/>
  <c r="C6" i="5"/>
  <c r="C5" i="5"/>
  <c r="C8" i="7"/>
  <c r="C18" i="7" s="1"/>
  <c r="C17" i="7" l="1"/>
  <c r="H19" i="7" s="1"/>
  <c r="C19" i="7"/>
  <c r="H21" i="7" s="1"/>
  <c r="I20" i="7"/>
  <c r="H20" i="7"/>
  <c r="G20" i="7"/>
  <c r="C16" i="7"/>
  <c r="G21" i="7" l="1"/>
  <c r="I19" i="7"/>
  <c r="G19" i="7"/>
  <c r="I21" i="7"/>
  <c r="I18" i="7"/>
  <c r="H18" i="7"/>
  <c r="G18" i="7"/>
  <c r="H36" i="5" l="1"/>
  <c r="H37" i="5"/>
  <c r="H38" i="5"/>
  <c r="K35" i="5"/>
  <c r="J36" i="5"/>
  <c r="K37" i="5"/>
  <c r="K38" i="5"/>
  <c r="I36" i="5"/>
  <c r="I37" i="5"/>
  <c r="I38" i="5"/>
  <c r="B22" i="5"/>
  <c r="B24" i="7" s="1"/>
  <c r="B14" i="5"/>
  <c r="G8" i="5" s="1"/>
  <c r="B15" i="5"/>
  <c r="G15" i="5" s="1"/>
  <c r="B16" i="5"/>
  <c r="G16" i="5" s="1"/>
  <c r="B13" i="5"/>
  <c r="G7" i="5" s="1"/>
  <c r="G44" i="5"/>
  <c r="F44" i="5"/>
  <c r="G43" i="5"/>
  <c r="F43" i="5"/>
  <c r="G42" i="5"/>
  <c r="F42" i="5"/>
  <c r="G41" i="5"/>
  <c r="F41" i="5"/>
  <c r="J39" i="5"/>
  <c r="J38" i="5"/>
  <c r="G38" i="5"/>
  <c r="J37" i="5"/>
  <c r="G37" i="5"/>
  <c r="K36" i="5"/>
  <c r="G36" i="5"/>
  <c r="J35" i="5"/>
  <c r="G35" i="5"/>
  <c r="K34" i="5"/>
  <c r="J34" i="5"/>
  <c r="I34" i="5"/>
  <c r="H34" i="5"/>
  <c r="K33" i="5"/>
  <c r="J33" i="5"/>
  <c r="I33" i="5"/>
  <c r="K40" i="5"/>
  <c r="J40" i="5"/>
  <c r="B21" i="5" l="1"/>
  <c r="B23" i="7" s="1"/>
  <c r="H35" i="5"/>
  <c r="H17" i="5"/>
  <c r="I35" i="5"/>
  <c r="I17" i="5"/>
  <c r="C8" i="5"/>
  <c r="C13" i="5" s="1"/>
  <c r="I12" i="5"/>
  <c r="I39" i="5"/>
  <c r="H12" i="5"/>
  <c r="H40" i="5" s="1"/>
  <c r="H39" i="5"/>
  <c r="K39" i="5"/>
  <c r="G9" i="5"/>
  <c r="G10" i="5"/>
  <c r="G13" i="5"/>
  <c r="G14" i="5"/>
  <c r="H22" i="5" l="1"/>
  <c r="C15" i="5"/>
  <c r="H15" i="5" s="1"/>
  <c r="H43" i="5" s="1"/>
  <c r="I40" i="5"/>
  <c r="I22" i="5"/>
  <c r="C14" i="5"/>
  <c r="H14" i="5" s="1"/>
  <c r="H42" i="5" s="1"/>
  <c r="C16" i="5"/>
  <c r="K44" i="5" s="1"/>
  <c r="J44" i="5"/>
  <c r="K43" i="5"/>
  <c r="J43" i="5"/>
  <c r="F13" i="5"/>
  <c r="I13" i="5"/>
  <c r="H13" i="5"/>
  <c r="K42" i="5"/>
  <c r="J42" i="5"/>
  <c r="I15" i="5" l="1"/>
  <c r="I43" i="5" s="1"/>
  <c r="F15" i="5"/>
  <c r="F16" i="5"/>
  <c r="H16" i="5"/>
  <c r="H44" i="5" s="1"/>
  <c r="F14" i="5"/>
  <c r="I16" i="5"/>
  <c r="I44" i="5" s="1"/>
  <c r="I14" i="5"/>
  <c r="I42" i="5" s="1"/>
  <c r="H41" i="5"/>
  <c r="I41" i="5"/>
  <c r="J41" i="5"/>
  <c r="K41" i="5"/>
  <c r="J25" i="5" l="1"/>
  <c r="I19" i="5"/>
  <c r="J24" i="5"/>
  <c r="J26" i="5" l="1"/>
  <c r="J27" i="5" s="1"/>
  <c r="H18" i="5" l="1"/>
  <c r="H19" i="5" l="1"/>
  <c r="H20" i="5" l="1"/>
  <c r="H21" i="5" l="1"/>
  <c r="H24" i="7" l="1"/>
  <c r="H23" i="7"/>
  <c r="I18" i="5" l="1"/>
  <c r="I20" i="5" s="1"/>
  <c r="I21" i="5" l="1"/>
  <c r="I24" i="7" l="1"/>
  <c r="C22" i="7"/>
  <c r="I23" i="7"/>
</calcChain>
</file>

<file path=xl/sharedStrings.xml><?xml version="1.0" encoding="utf-8"?>
<sst xmlns="http://schemas.openxmlformats.org/spreadsheetml/2006/main" count="94" uniqueCount="63">
  <si>
    <t>2-MIB価計算シート</t>
    <rPh sb="5" eb="6">
      <t>カ</t>
    </rPh>
    <rPh sb="6" eb="8">
      <t>ケイサン</t>
    </rPh>
    <phoneticPr fontId="1"/>
  </si>
  <si>
    <t>未乾燥時の重量　湿重量（ｇ）</t>
    <rPh sb="0" eb="1">
      <t>ミ</t>
    </rPh>
    <rPh sb="1" eb="3">
      <t>カンソウ</t>
    </rPh>
    <rPh sb="3" eb="4">
      <t>ジ</t>
    </rPh>
    <rPh sb="5" eb="7">
      <t>ジュウリョウ</t>
    </rPh>
    <rPh sb="8" eb="9">
      <t>シツ</t>
    </rPh>
    <rPh sb="9" eb="11">
      <t>ジュウリョウ</t>
    </rPh>
    <phoneticPr fontId="1"/>
  </si>
  <si>
    <t>その時の乾燥重量（ｇ）</t>
    <rPh sb="2" eb="3">
      <t>トキ</t>
    </rPh>
    <rPh sb="4" eb="6">
      <t>カンソウ</t>
    </rPh>
    <rPh sb="6" eb="8">
      <t>ジュウリョウ</t>
    </rPh>
    <phoneticPr fontId="1"/>
  </si>
  <si>
    <t>活性炭懸濁液注入量(mL)</t>
    <rPh sb="0" eb="6">
      <t>カッセイタンケンダクエキ</t>
    </rPh>
    <rPh sb="6" eb="7">
      <t>チュウ</t>
    </rPh>
    <rPh sb="7" eb="8">
      <t>ニュウ</t>
    </rPh>
    <rPh sb="8" eb="9">
      <t>リョウ</t>
    </rPh>
    <phoneticPr fontId="1"/>
  </si>
  <si>
    <t>入力例</t>
    <rPh sb="0" eb="2">
      <t>ニュウリョク</t>
    </rPh>
    <rPh sb="2" eb="3">
      <t>レイ</t>
    </rPh>
    <phoneticPr fontId="1"/>
  </si>
  <si>
    <t>測定値記入欄</t>
    <rPh sb="0" eb="3">
      <t>ソクテイチ</t>
    </rPh>
    <rPh sb="3" eb="6">
      <t>キニュウラン</t>
    </rPh>
    <phoneticPr fontId="1"/>
  </si>
  <si>
    <t>活性炭試料採取量(未乾燥)(g)</t>
    <rPh sb="0" eb="5">
      <t>カッセイタンシリョウ</t>
    </rPh>
    <rPh sb="5" eb="8">
      <t>サイシュリョウ</t>
    </rPh>
    <rPh sb="9" eb="12">
      <t>ミカンソウ</t>
    </rPh>
    <phoneticPr fontId="1"/>
  </si>
  <si>
    <t>(x軸）</t>
    <rPh sb="2" eb="3">
      <t>ジク</t>
    </rPh>
    <phoneticPr fontId="1"/>
  </si>
  <si>
    <t>試料懸濁液濃度
（ｍｇ/ｍL）</t>
    <rPh sb="0" eb="7">
      <t>シリョウケンダクエキノウド</t>
    </rPh>
    <phoneticPr fontId="1"/>
  </si>
  <si>
    <t>注入率</t>
    <rPh sb="0" eb="1">
      <t>チュウ</t>
    </rPh>
    <rPh sb="1" eb="2">
      <t>ニュウ</t>
    </rPh>
    <rPh sb="2" eb="3">
      <t>リツ</t>
    </rPh>
    <phoneticPr fontId="1"/>
  </si>
  <si>
    <t>容器中の活性炭量(mg)</t>
    <rPh sb="0" eb="3">
      <t>ヨウキチュウ</t>
    </rPh>
    <rPh sb="4" eb="7">
      <t>カッセイタン</t>
    </rPh>
    <rPh sb="7" eb="8">
      <t>リョウ</t>
    </rPh>
    <phoneticPr fontId="1"/>
  </si>
  <si>
    <t>結果採用の可否についての判定</t>
    <rPh sb="0" eb="2">
      <t>ケッカ</t>
    </rPh>
    <rPh sb="2" eb="4">
      <t>サイヨウ</t>
    </rPh>
    <rPh sb="5" eb="7">
      <t>カヒ</t>
    </rPh>
    <rPh sb="12" eb="14">
      <t>ハンテイ</t>
    </rPh>
    <phoneticPr fontId="1"/>
  </si>
  <si>
    <t>(ｙ軸）</t>
    <rPh sb="2" eb="3">
      <t>ジク</t>
    </rPh>
    <phoneticPr fontId="1"/>
  </si>
  <si>
    <t>a</t>
    <phoneticPr fontId="1"/>
  </si>
  <si>
    <t>b</t>
    <phoneticPr fontId="1"/>
  </si>
  <si>
    <t>K4</t>
    <phoneticPr fontId="1"/>
  </si>
  <si>
    <t>算出
2-MIB価</t>
    <rPh sb="0" eb="2">
      <t>サンシュツ</t>
    </rPh>
    <rPh sb="8" eb="9">
      <t>カ</t>
    </rPh>
    <phoneticPr fontId="1"/>
  </si>
  <si>
    <t>セルの数式(入力例の列Hについて示す）</t>
    <rPh sb="3" eb="5">
      <t>スウシキ</t>
    </rPh>
    <rPh sb="6" eb="8">
      <t>ニュウリョク</t>
    </rPh>
    <rPh sb="8" eb="9">
      <t>レイ</t>
    </rPh>
    <rPh sb="10" eb="11">
      <t>レツ</t>
    </rPh>
    <rPh sb="16" eb="17">
      <t>シメ</t>
    </rPh>
    <phoneticPr fontId="1"/>
  </si>
  <si>
    <t>H16=10^(INDEX(LINEST(LOG10(H11:H14),LOG10(H5:H8)),2))</t>
    <phoneticPr fontId="1"/>
  </si>
  <si>
    <t>H17=LINEST(LOG10(H11:H14),LOG10(H5:H8),)</t>
    <phoneticPr fontId="1"/>
  </si>
  <si>
    <t>H18=H16*(20^H17）</t>
    <phoneticPr fontId="1"/>
  </si>
  <si>
    <t>2-MIB価</t>
    <rPh sb="5" eb="6">
      <t>カ</t>
    </rPh>
    <phoneticPr fontId="1"/>
  </si>
  <si>
    <t>H19=180/H18</t>
    <phoneticPr fontId="1"/>
  </si>
  <si>
    <t>広島提案2-MIB価</t>
  </si>
  <si>
    <t>H20=(0.9*H9)/(H16*((0.1*H9)^H17))</t>
    <phoneticPr fontId="1"/>
  </si>
  <si>
    <t>入力域</t>
    <rPh sb="0" eb="2">
      <t>ニュウリョク</t>
    </rPh>
    <rPh sb="2" eb="3">
      <t>イキ</t>
    </rPh>
    <phoneticPr fontId="1"/>
  </si>
  <si>
    <t>活性炭（mg）</t>
    <rPh sb="0" eb="3">
      <t>カッセイタン</t>
    </rPh>
    <phoneticPr fontId="1"/>
  </si>
  <si>
    <t>JWWA K113　水道用粉末活性炭　参考Ⅳ２－メチルイソボルネオール価で2-MIB価の算定に使用する計算シート</t>
    <rPh sb="10" eb="18">
      <t>スイドウヨウフンマツカッセイタン</t>
    </rPh>
    <rPh sb="19" eb="21">
      <t>サンコウ</t>
    </rPh>
    <rPh sb="35" eb="36">
      <t>カ</t>
    </rPh>
    <rPh sb="42" eb="43">
      <t>カ</t>
    </rPh>
    <rPh sb="44" eb="46">
      <t>サンテイ</t>
    </rPh>
    <rPh sb="47" eb="49">
      <t>シヨウ</t>
    </rPh>
    <rPh sb="51" eb="53">
      <t>ケイサン</t>
    </rPh>
    <phoneticPr fontId="1"/>
  </si>
  <si>
    <t>試料名</t>
    <rPh sb="0" eb="3">
      <t>シリョウメイ</t>
    </rPh>
    <phoneticPr fontId="1"/>
  </si>
  <si>
    <t>最も少ない残留2-MIB濃度が20ng/L以下か</t>
    <rPh sb="21" eb="23">
      <t>イカ</t>
    </rPh>
    <phoneticPr fontId="1"/>
  </si>
  <si>
    <t>乾燥重量計算部分</t>
    <rPh sb="0" eb="8">
      <t>カンソウジュウリョウケイサンブブン</t>
    </rPh>
    <phoneticPr fontId="1"/>
  </si>
  <si>
    <t>試験日</t>
    <rPh sb="0" eb="3">
      <t>シケンビ</t>
    </rPh>
    <phoneticPr fontId="1"/>
  </si>
  <si>
    <t>(西暦/月/日)</t>
    <rPh sb="1" eb="3">
      <t>セイレキ</t>
    </rPh>
    <rPh sb="4" eb="5">
      <t>ツキ</t>
    </rPh>
    <rPh sb="6" eb="7">
      <t>ニチ</t>
    </rPh>
    <phoneticPr fontId="1"/>
  </si>
  <si>
    <t>ドライ炭第7回試験</t>
    <rPh sb="3" eb="4">
      <t>タン</t>
    </rPh>
    <rPh sb="4" eb="5">
      <t>ダイ</t>
    </rPh>
    <rPh sb="6" eb="7">
      <t>カイ</t>
    </rPh>
    <rPh sb="7" eb="9">
      <t>シケン</t>
    </rPh>
    <phoneticPr fontId="1"/>
  </si>
  <si>
    <r>
      <t>活性炭
無添加時の残留</t>
    </r>
    <r>
      <rPr>
        <sz val="8"/>
        <rFont val="Arial"/>
        <family val="2"/>
      </rPr>
      <t>2-MIB</t>
    </r>
    <r>
      <rPr>
        <sz val="8"/>
        <rFont val="游ゴシック"/>
        <family val="2"/>
        <charset val="128"/>
      </rPr>
      <t>濃</t>
    </r>
    <r>
      <rPr>
        <sz val="8"/>
        <rFont val="游ゴシック"/>
        <family val="2"/>
        <charset val="128"/>
        <scheme val="minor"/>
      </rPr>
      <t>度</t>
    </r>
    <rPh sb="0" eb="3">
      <t>カッセイタン</t>
    </rPh>
    <rPh sb="4" eb="7">
      <t>ムテンカ</t>
    </rPh>
    <rPh sb="7" eb="8">
      <t>ジ</t>
    </rPh>
    <rPh sb="9" eb="11">
      <t>ザンリュウ</t>
    </rPh>
    <rPh sb="16" eb="18">
      <t>ノウド</t>
    </rPh>
    <phoneticPr fontId="1"/>
  </si>
  <si>
    <r>
      <t>K</t>
    </r>
    <r>
      <rPr>
        <sz val="9"/>
        <rFont val="游ゴシック"/>
        <family val="3"/>
        <charset val="128"/>
        <scheme val="minor"/>
      </rPr>
      <t>4</t>
    </r>
    <phoneticPr fontId="1"/>
  </si>
  <si>
    <r>
      <t>200ｍL にした際の初期</t>
    </r>
    <r>
      <rPr>
        <sz val="8"/>
        <rFont val="Arial"/>
        <family val="2"/>
      </rPr>
      <t>2-MIB</t>
    </r>
    <r>
      <rPr>
        <sz val="8"/>
        <rFont val="游ゴシック"/>
        <family val="2"/>
        <charset val="128"/>
      </rPr>
      <t>濃</t>
    </r>
    <r>
      <rPr>
        <sz val="8"/>
        <rFont val="游ゴシック"/>
        <family val="2"/>
        <charset val="128"/>
        <scheme val="minor"/>
      </rPr>
      <t>度</t>
    </r>
    <rPh sb="9" eb="10">
      <t>サイ</t>
    </rPh>
    <rPh sb="11" eb="13">
      <t>ショキ</t>
    </rPh>
    <rPh sb="18" eb="20">
      <t>ノウド</t>
    </rPh>
    <phoneticPr fontId="1"/>
  </si>
  <si>
    <t>　未乾燥試料採取量</t>
    <rPh sb="1" eb="9">
      <t>ミカンソウシリョウサイシュリョウ</t>
    </rPh>
    <phoneticPr fontId="1"/>
  </si>
  <si>
    <t>計算例</t>
    <rPh sb="0" eb="3">
      <t>ケイサンレイ</t>
    </rPh>
    <phoneticPr fontId="1"/>
  </si>
  <si>
    <t>算出値</t>
    <rPh sb="0" eb="3">
      <t>サンシュツチ</t>
    </rPh>
    <phoneticPr fontId="1"/>
  </si>
  <si>
    <t>　算出結果表示部分</t>
    <rPh sb="1" eb="3">
      <t>サンシュツ</t>
    </rPh>
    <rPh sb="3" eb="5">
      <t>ケッカ</t>
    </rPh>
    <rPh sb="5" eb="7">
      <t>ヒョウジ</t>
    </rPh>
    <rPh sb="7" eb="9">
      <t>ブブン</t>
    </rPh>
    <phoneticPr fontId="1"/>
  </si>
  <si>
    <r>
      <rPr>
        <b/>
        <sz val="14"/>
        <rFont val="Times New Roman"/>
        <family val="1"/>
      </rPr>
      <t>2-MIB</t>
    </r>
    <r>
      <rPr>
        <b/>
        <sz val="14"/>
        <rFont val="ＭＳ 明朝"/>
        <family val="1"/>
        <charset val="128"/>
      </rPr>
      <t>価計算シート</t>
    </r>
    <rPh sb="5" eb="6">
      <t>カ</t>
    </rPh>
    <rPh sb="6" eb="8">
      <t>ケイサン</t>
    </rPh>
    <phoneticPr fontId="1"/>
  </si>
  <si>
    <r>
      <t>未乾燥試料重量　湿重量(</t>
    </r>
    <r>
      <rPr>
        <sz val="10"/>
        <rFont val="Times New Roman"/>
        <family val="1"/>
      </rPr>
      <t>g</t>
    </r>
    <r>
      <rPr>
        <sz val="10"/>
        <rFont val="ＭＳ 明朝"/>
        <family val="1"/>
        <charset val="128"/>
      </rPr>
      <t>)</t>
    </r>
    <r>
      <rPr>
        <sz val="10"/>
        <rFont val="Times New Roman"/>
        <family val="1"/>
      </rPr>
      <t>1 mg</t>
    </r>
    <r>
      <rPr>
        <sz val="10"/>
        <rFont val="ＭＳ 明朝"/>
        <family val="1"/>
        <charset val="128"/>
      </rPr>
      <t>の桁まで記入</t>
    </r>
    <rPh sb="0" eb="1">
      <t>ミ</t>
    </rPh>
    <rPh sb="1" eb="3">
      <t>カンソウ</t>
    </rPh>
    <rPh sb="4" eb="6">
      <t>シリョウ</t>
    </rPh>
    <rPh sb="6" eb="8">
      <t>ジュウリョウ</t>
    </rPh>
    <rPh sb="9" eb="10">
      <t>シツ</t>
    </rPh>
    <rPh sb="10" eb="12">
      <t>ジュウリョウ</t>
    </rPh>
    <rPh sb="20" eb="21">
      <t>ケタキニュウ</t>
    </rPh>
    <phoneticPr fontId="1"/>
  </si>
  <si>
    <r>
      <t>その時の乾燥重量(</t>
    </r>
    <r>
      <rPr>
        <sz val="10"/>
        <rFont val="Times New Roman"/>
        <family val="1"/>
      </rPr>
      <t>g</t>
    </r>
    <r>
      <rPr>
        <sz val="10"/>
        <rFont val="ＭＳ 明朝"/>
        <family val="1"/>
        <charset val="128"/>
      </rPr>
      <t xml:space="preserve">)
</t>
    </r>
    <r>
      <rPr>
        <sz val="10"/>
        <rFont val="Times New Roman"/>
        <family val="1"/>
      </rPr>
      <t>1 mg</t>
    </r>
    <r>
      <rPr>
        <sz val="10"/>
        <rFont val="ＭＳ 明朝"/>
        <family val="1"/>
        <charset val="128"/>
      </rPr>
      <t>の桁まで記入</t>
    </r>
    <rPh sb="2" eb="3">
      <t>トキ</t>
    </rPh>
    <rPh sb="4" eb="6">
      <t>カンソウ</t>
    </rPh>
    <rPh sb="6" eb="7">
      <t>ジュウ</t>
    </rPh>
    <phoneticPr fontId="1"/>
  </si>
  <si>
    <r>
      <t>試料採取量(未乾燥)(</t>
    </r>
    <r>
      <rPr>
        <sz val="10"/>
        <rFont val="Times New Roman"/>
        <family val="1"/>
      </rPr>
      <t>g</t>
    </r>
    <r>
      <rPr>
        <sz val="10"/>
        <rFont val="ＭＳ 明朝"/>
        <family val="1"/>
        <charset val="128"/>
      </rPr>
      <t>)</t>
    </r>
    <rPh sb="0" eb="2">
      <t>シリョウ</t>
    </rPh>
    <rPh sb="2" eb="5">
      <t>サイシュリョウ</t>
    </rPh>
    <rPh sb="6" eb="9">
      <t>ミカンソウ</t>
    </rPh>
    <phoneticPr fontId="1"/>
  </si>
  <si>
    <r>
      <t>試料懸濁原液濃度(</t>
    </r>
    <r>
      <rPr>
        <sz val="10"/>
        <rFont val="Times New Roman"/>
        <family val="1"/>
      </rPr>
      <t>mg/mL</t>
    </r>
    <r>
      <rPr>
        <sz val="10"/>
        <rFont val="ＭＳ 明朝"/>
        <family val="1"/>
        <charset val="128"/>
      </rPr>
      <t>)</t>
    </r>
    <rPh sb="0" eb="2">
      <t>シリョウ</t>
    </rPh>
    <rPh sb="2" eb="4">
      <t>ケンダク</t>
    </rPh>
    <rPh sb="4" eb="6">
      <t>ゲンエキ</t>
    </rPh>
    <rPh sb="6" eb="8">
      <t>ノウド</t>
    </rPh>
    <phoneticPr fontId="1"/>
  </si>
  <si>
    <r>
      <t>(</t>
    </r>
    <r>
      <rPr>
        <sz val="11"/>
        <rFont val="Times New Roman"/>
        <family val="1"/>
      </rPr>
      <t>g</t>
    </r>
    <r>
      <rPr>
        <sz val="11"/>
        <rFont val="ＭＳ 明朝"/>
        <family val="1"/>
        <charset val="128"/>
      </rPr>
      <t>)</t>
    </r>
    <r>
      <rPr>
        <sz val="11"/>
        <rFont val="Times New Roman"/>
        <family val="1"/>
      </rPr>
      <t>1 mg</t>
    </r>
    <r>
      <rPr>
        <sz val="11"/>
        <rFont val="ＭＳ 明朝"/>
        <family val="1"/>
        <charset val="128"/>
      </rPr>
      <t>の桁まで記入</t>
    </r>
    <phoneticPr fontId="1"/>
  </si>
  <si>
    <r>
      <rPr>
        <sz val="11"/>
        <rFont val="Times New Roman"/>
        <family val="1"/>
      </rPr>
      <t>0</t>
    </r>
    <r>
      <rPr>
        <sz val="11"/>
        <rFont val="ＭＳ 明朝"/>
        <family val="1"/>
        <charset val="128"/>
      </rPr>
      <t xml:space="preserve">
（空試験溶液）</t>
    </r>
    <rPh sb="3" eb="8">
      <t>カラシケンヨウエキ</t>
    </rPh>
    <phoneticPr fontId="1"/>
  </si>
  <si>
    <r>
      <rPr>
        <sz val="11"/>
        <rFont val="Times New Roman"/>
        <family val="1"/>
      </rPr>
      <t>2-MIB</t>
    </r>
    <r>
      <rPr>
        <sz val="11"/>
        <rFont val="ＭＳ 明朝"/>
        <family val="1"/>
        <charset val="128"/>
      </rPr>
      <t>吸着量(</t>
    </r>
    <r>
      <rPr>
        <sz val="11"/>
        <rFont val="Times New Roman"/>
        <family val="1"/>
      </rPr>
      <t>mg</t>
    </r>
    <r>
      <rPr>
        <sz val="11"/>
        <rFont val="ＭＳ 明朝"/>
        <family val="1"/>
        <charset val="128"/>
      </rPr>
      <t>)</t>
    </r>
    <phoneticPr fontId="1"/>
  </si>
  <si>
    <r>
      <t>(</t>
    </r>
    <r>
      <rPr>
        <sz val="11"/>
        <color theme="1"/>
        <rFont val="Times New Roman"/>
        <family val="1"/>
      </rPr>
      <t>y</t>
    </r>
    <r>
      <rPr>
        <sz val="11"/>
        <color theme="1"/>
        <rFont val="ＭＳ 明朝"/>
        <family val="1"/>
        <charset val="128"/>
      </rPr>
      <t>軸)</t>
    </r>
    <rPh sb="2" eb="3">
      <t>ジク</t>
    </rPh>
    <phoneticPr fontId="1"/>
  </si>
  <si>
    <r>
      <t>算出</t>
    </r>
    <r>
      <rPr>
        <b/>
        <sz val="14"/>
        <color theme="1"/>
        <rFont val="Times New Roman"/>
        <family val="1"/>
      </rPr>
      <t>2-MIB</t>
    </r>
    <r>
      <rPr>
        <b/>
        <sz val="14"/>
        <color theme="1"/>
        <rFont val="ＭＳ 明朝"/>
        <family val="1"/>
        <charset val="128"/>
      </rPr>
      <t>価</t>
    </r>
    <rPh sb="0" eb="2">
      <t>サンシュツ</t>
    </rPh>
    <rPh sb="7" eb="8">
      <t>カ</t>
    </rPh>
    <phoneticPr fontId="1"/>
  </si>
  <si>
    <t>粉末活性炭量計算部分</t>
    <rPh sb="0" eb="2">
      <t>フンマツ</t>
    </rPh>
    <rPh sb="2" eb="5">
      <t>カッセイタン</t>
    </rPh>
    <rPh sb="4" eb="8">
      <t>ケイサンブブン</t>
    </rPh>
    <phoneticPr fontId="1"/>
  </si>
  <si>
    <r>
      <t>試験溶液中の
粉末活性炭濃度(</t>
    </r>
    <r>
      <rPr>
        <sz val="10"/>
        <rFont val="Times New Roman"/>
        <family val="1"/>
      </rPr>
      <t>mg/L</t>
    </r>
    <r>
      <rPr>
        <sz val="10"/>
        <rFont val="ＭＳ 明朝"/>
        <family val="1"/>
        <charset val="128"/>
      </rPr>
      <t>)</t>
    </r>
    <rPh sb="0" eb="2">
      <t>シケン</t>
    </rPh>
    <rPh sb="2" eb="4">
      <t>ヨウエキ</t>
    </rPh>
    <rPh sb="4" eb="5">
      <t>チュウ</t>
    </rPh>
    <rPh sb="7" eb="9">
      <t>フンマツ</t>
    </rPh>
    <rPh sb="9" eb="12">
      <t>カッセイタン</t>
    </rPh>
    <rPh sb="12" eb="14">
      <t>ノウド</t>
    </rPh>
    <phoneticPr fontId="1"/>
  </si>
  <si>
    <r>
      <t>試験溶液中の粉末活性炭量(</t>
    </r>
    <r>
      <rPr>
        <sz val="10"/>
        <rFont val="Times New Roman"/>
        <family val="1"/>
      </rPr>
      <t>mg</t>
    </r>
    <r>
      <rPr>
        <sz val="10"/>
        <rFont val="ＭＳ 明朝"/>
        <family val="1"/>
        <charset val="128"/>
      </rPr>
      <t>)</t>
    </r>
    <rPh sb="0" eb="2">
      <t>シケン</t>
    </rPh>
    <rPh sb="2" eb="4">
      <t>ヨウエキ</t>
    </rPh>
    <rPh sb="4" eb="5">
      <t>チュウ</t>
    </rPh>
    <rPh sb="6" eb="8">
      <t>フンマツ</t>
    </rPh>
    <rPh sb="8" eb="11">
      <t>カッセイタン</t>
    </rPh>
    <rPh sb="11" eb="12">
      <t>リョウ</t>
    </rPh>
    <phoneticPr fontId="1"/>
  </si>
  <si>
    <t>※試験溶液は200 mL</t>
    <rPh sb="1" eb="5">
      <t>シケンヨウエキ</t>
    </rPh>
    <phoneticPr fontId="1"/>
  </si>
  <si>
    <t>　</t>
    <phoneticPr fontId="1"/>
  </si>
  <si>
    <r>
      <rPr>
        <sz val="11"/>
        <rFont val="Times New Roman"/>
        <family val="1"/>
      </rPr>
      <t>2-MIB</t>
    </r>
    <r>
      <rPr>
        <sz val="11"/>
        <rFont val="ＭＳ 明朝"/>
        <family val="1"/>
        <charset val="128"/>
      </rPr>
      <t>濃度(</t>
    </r>
    <r>
      <rPr>
        <sz val="11"/>
        <rFont val="Times New Roman"/>
        <family val="1"/>
      </rPr>
      <t>ng/L</t>
    </r>
    <r>
      <rPr>
        <sz val="11"/>
        <rFont val="ＭＳ 明朝"/>
        <family val="1"/>
        <charset val="128"/>
      </rPr>
      <t>)</t>
    </r>
    <rPh sb="5" eb="7">
      <t>ノウド</t>
    </rPh>
    <phoneticPr fontId="1"/>
  </si>
  <si>
    <r>
      <t xml:space="preserve">JWWA K113　水道用粉末活性炭　参考Ⅳ </t>
    </r>
    <r>
      <rPr>
        <b/>
        <sz val="11"/>
        <color rgb="FFFF0000"/>
        <rFont val="Times New Roman"/>
        <family val="1"/>
      </rPr>
      <t>2-</t>
    </r>
    <r>
      <rPr>
        <b/>
        <sz val="11"/>
        <color rgb="FFFF0000"/>
        <rFont val="ＭＳ 明朝"/>
        <family val="1"/>
        <charset val="128"/>
      </rPr>
      <t>メチルイソボルネオール価で</t>
    </r>
    <r>
      <rPr>
        <b/>
        <sz val="11"/>
        <color rgb="FFFF0000"/>
        <rFont val="Times New Roman"/>
        <family val="1"/>
      </rPr>
      <t>2-MIB</t>
    </r>
    <r>
      <rPr>
        <b/>
        <sz val="11"/>
        <color rgb="FFFF0000"/>
        <rFont val="ＭＳ 明朝"/>
        <family val="1"/>
        <charset val="128"/>
      </rPr>
      <t>価の算定に使用する計算シート
　　黄色いセル（見本としての値が入っています）に実際の値を入れて使用してください。</t>
    </r>
    <rPh sb="10" eb="18">
      <t>スイドウヨウフンマツカッセイタン</t>
    </rPh>
    <rPh sb="19" eb="21">
      <t>サンコウ</t>
    </rPh>
    <rPh sb="36" eb="37">
      <t>カ</t>
    </rPh>
    <rPh sb="43" eb="44">
      <t>カ</t>
    </rPh>
    <rPh sb="45" eb="47">
      <t>サンテイ</t>
    </rPh>
    <rPh sb="48" eb="50">
      <t>シヨウ</t>
    </rPh>
    <rPh sb="52" eb="54">
      <t>ケイサン</t>
    </rPh>
    <rPh sb="60" eb="62">
      <t>キイロ</t>
    </rPh>
    <rPh sb="66" eb="68">
      <t>ミホン</t>
    </rPh>
    <rPh sb="72" eb="73">
      <t>アタイ</t>
    </rPh>
    <rPh sb="74" eb="75">
      <t>ハイ</t>
    </rPh>
    <rPh sb="82" eb="84">
      <t>ジッサイ</t>
    </rPh>
    <rPh sb="85" eb="86">
      <t>アタイ</t>
    </rPh>
    <rPh sb="87" eb="88">
      <t>イ</t>
    </rPh>
    <rPh sb="90" eb="92">
      <t>シヨウ</t>
    </rPh>
    <phoneticPr fontId="1"/>
  </si>
  <si>
    <r>
      <t>試料懸濁原液量(</t>
    </r>
    <r>
      <rPr>
        <sz val="11"/>
        <rFont val="Times New Roman"/>
        <family val="1"/>
      </rPr>
      <t>mL</t>
    </r>
    <r>
      <rPr>
        <sz val="11"/>
        <rFont val="ＭＳ 明朝"/>
        <family val="1"/>
        <charset val="128"/>
      </rPr>
      <t>)</t>
    </r>
    <rPh sb="0" eb="2">
      <t>シリョウ</t>
    </rPh>
    <rPh sb="2" eb="4">
      <t>ケンダク</t>
    </rPh>
    <rPh sb="4" eb="6">
      <t>ゲンエキ</t>
    </rPh>
    <rPh sb="6" eb="7">
      <t>リョウ</t>
    </rPh>
    <phoneticPr fontId="1"/>
  </si>
  <si>
    <r>
      <t>試験溶液中の
粉末活性炭量(</t>
    </r>
    <r>
      <rPr>
        <sz val="11"/>
        <rFont val="Times New Roman"/>
        <family val="1"/>
      </rPr>
      <t>mg</t>
    </r>
    <r>
      <rPr>
        <sz val="11"/>
        <rFont val="ＭＳ 明朝"/>
        <family val="1"/>
        <charset val="128"/>
      </rPr>
      <t>)</t>
    </r>
    <rPh sb="7" eb="9">
      <t>フンマツ</t>
    </rPh>
    <phoneticPr fontId="1"/>
  </si>
  <si>
    <r>
      <t>最も少ない</t>
    </r>
    <r>
      <rPr>
        <sz val="11"/>
        <color theme="1"/>
        <rFont val="Times New Roman"/>
        <family val="1"/>
      </rPr>
      <t>2-MIB</t>
    </r>
    <r>
      <rPr>
        <sz val="11"/>
        <color theme="1"/>
        <rFont val="ＭＳ 明朝"/>
        <family val="1"/>
        <charset val="128"/>
      </rPr>
      <t>濃度が</t>
    </r>
    <r>
      <rPr>
        <sz val="11"/>
        <color theme="1"/>
        <rFont val="Times New Roman"/>
        <family val="1"/>
      </rPr>
      <t>20 ng/L</t>
    </r>
    <r>
      <rPr>
        <sz val="11"/>
        <color theme="1"/>
        <rFont val="ＭＳ 明朝"/>
        <family val="1"/>
        <charset val="128"/>
      </rPr>
      <t>以下か</t>
    </r>
    <rPh sb="20" eb="22">
      <t>イカ</t>
    </rPh>
    <phoneticPr fontId="1"/>
  </si>
  <si>
    <r>
      <t>空試験溶液の</t>
    </r>
    <r>
      <rPr>
        <sz val="11"/>
        <color theme="1"/>
        <rFont val="Times New Roman"/>
        <family val="1"/>
      </rPr>
      <t>2-MIB</t>
    </r>
    <r>
      <rPr>
        <sz val="11"/>
        <color theme="1"/>
        <rFont val="ＭＳ 明朝"/>
        <family val="1"/>
        <charset val="128"/>
      </rPr>
      <t>濃度が</t>
    </r>
    <r>
      <rPr>
        <sz val="11"/>
        <color theme="1"/>
        <rFont val="Times New Roman"/>
        <family val="1"/>
      </rPr>
      <t>200 ng/L</t>
    </r>
    <r>
      <rPr>
        <sz val="11"/>
        <color theme="1"/>
        <rFont val="ＭＳ 明朝"/>
        <family val="1"/>
        <charset val="128"/>
      </rPr>
      <t>±</t>
    </r>
    <r>
      <rPr>
        <sz val="11"/>
        <color theme="1"/>
        <rFont val="Times New Roman"/>
        <family val="1"/>
      </rPr>
      <t>40 ng/L</t>
    </r>
    <r>
      <rPr>
        <sz val="11"/>
        <color theme="1"/>
        <rFont val="ＭＳ 明朝"/>
        <family val="1"/>
        <charset val="128"/>
      </rPr>
      <t>か</t>
    </r>
    <rPh sb="0" eb="1">
      <t>カラ</t>
    </rPh>
    <rPh sb="1" eb="3">
      <t>シケン</t>
    </rPh>
    <rPh sb="3" eb="5">
      <t>ヨウエキ</t>
    </rPh>
    <rPh sb="11" eb="13">
      <t>ノウド</t>
    </rPh>
    <phoneticPr fontId="1"/>
  </si>
  <si>
    <r>
      <t>算出</t>
    </r>
    <r>
      <rPr>
        <b/>
        <sz val="11"/>
        <color theme="1"/>
        <rFont val="Times New Roman"/>
        <family val="1"/>
      </rPr>
      <t>2-MIB</t>
    </r>
    <r>
      <rPr>
        <b/>
        <sz val="11"/>
        <color theme="1"/>
        <rFont val="ＭＳ 明朝"/>
        <family val="1"/>
        <charset val="128"/>
      </rPr>
      <t>価</t>
    </r>
    <rPh sb="0" eb="2">
      <t>サンシュツ</t>
    </rPh>
    <rPh sb="7" eb="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</si>
</sst>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_ "/>
    <numFmt numFmtId="178" formatCode="0.0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b/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Arial"/>
      <family val="2"/>
    </font>
    <font>
      <sz val="8"/>
      <name val="游ゴシック"/>
      <family val="2"/>
      <charset val="128"/>
    </font>
    <font>
      <b/>
      <sz val="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name val="HGPｺﾞｼｯｸE"/>
      <family val="3"/>
      <charset val="128"/>
    </font>
    <font>
      <sz val="9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rgb="FFFF0000"/>
      <name val="ＭＳ 明朝"/>
      <family val="1"/>
      <charset val="128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>
      <left style="medium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auto="1"/>
      </left>
      <right style="medium">
        <color theme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3" fillId="3" borderId="1" xfId="0" applyFont="1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horizontal="right" vertical="center"/>
    </xf>
    <xf numFmtId="2" fontId="3" fillId="3" borderId="0" xfId="0" applyNumberFormat="1" applyFont="1" applyFill="1">
      <alignment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4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center" wrapText="1"/>
    </xf>
    <xf numFmtId="177" fontId="6" fillId="3" borderId="5" xfId="0" applyNumberFormat="1" applyFont="1" applyFill="1" applyBorder="1" applyAlignment="1">
      <alignment horizontal="center" vertical="center"/>
    </xf>
    <xf numFmtId="177" fontId="7" fillId="3" borderId="6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178" fontId="3" fillId="3" borderId="10" xfId="0" applyNumberFormat="1" applyFont="1" applyFill="1" applyBorder="1">
      <alignment vertical="center"/>
    </xf>
    <xf numFmtId="178" fontId="3" fillId="3" borderId="11" xfId="0" applyNumberFormat="1" applyFont="1" applyFill="1" applyBorder="1">
      <alignment vertical="center"/>
    </xf>
    <xf numFmtId="0" fontId="3" fillId="3" borderId="13" xfId="0" applyFont="1" applyFill="1" applyBorder="1" applyAlignment="1">
      <alignment vertical="center" wrapText="1"/>
    </xf>
    <xf numFmtId="176" fontId="3" fillId="3" borderId="12" xfId="0" applyNumberFormat="1" applyFont="1" applyFill="1" applyBorder="1">
      <alignment vertical="center"/>
    </xf>
    <xf numFmtId="178" fontId="3" fillId="3" borderId="0" xfId="0" applyNumberFormat="1" applyFont="1" applyFill="1">
      <alignment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left" wrapText="1"/>
    </xf>
    <xf numFmtId="178" fontId="3" fillId="3" borderId="13" xfId="0" applyNumberFormat="1" applyFont="1" applyFill="1" applyBorder="1" applyAlignment="1">
      <alignment vertical="center" wrapText="1"/>
    </xf>
    <xf numFmtId="178" fontId="3" fillId="3" borderId="18" xfId="0" applyNumberFormat="1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177" fontId="7" fillId="3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3" xfId="0" applyNumberFormat="1" applyFont="1" applyFill="1" applyBorder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 wrapText="1"/>
    </xf>
    <xf numFmtId="178" fontId="3" fillId="3" borderId="20" xfId="0" applyNumberFormat="1" applyFont="1" applyFill="1" applyBorder="1">
      <alignment vertical="center"/>
    </xf>
    <xf numFmtId="178" fontId="3" fillId="3" borderId="21" xfId="0" applyNumberFormat="1" applyFont="1" applyFill="1" applyBorder="1">
      <alignment vertical="center"/>
    </xf>
    <xf numFmtId="178" fontId="3" fillId="3" borderId="13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176" fontId="3" fillId="3" borderId="22" xfId="0" applyNumberFormat="1" applyFont="1" applyFill="1" applyBorder="1">
      <alignment vertical="center"/>
    </xf>
    <xf numFmtId="0" fontId="7" fillId="3" borderId="13" xfId="0" applyFont="1" applyFill="1" applyBorder="1" applyAlignment="1">
      <alignment horizontal="center" vertical="center" wrapText="1"/>
    </xf>
    <xf numFmtId="176" fontId="3" fillId="3" borderId="13" xfId="0" quotePrefix="1" applyNumberFormat="1" applyFont="1" applyFill="1" applyBorder="1">
      <alignment vertical="center"/>
    </xf>
    <xf numFmtId="176" fontId="3" fillId="3" borderId="13" xfId="0" applyNumberFormat="1" applyFont="1" applyFill="1" applyBorder="1">
      <alignment vertical="center"/>
    </xf>
    <xf numFmtId="0" fontId="11" fillId="3" borderId="0" xfId="0" applyFont="1" applyFill="1">
      <alignment vertical="center"/>
    </xf>
    <xf numFmtId="178" fontId="12" fillId="3" borderId="22" xfId="0" applyNumberFormat="1" applyFont="1" applyFill="1" applyBorder="1">
      <alignment vertical="center"/>
    </xf>
    <xf numFmtId="0" fontId="12" fillId="3" borderId="13" xfId="0" applyFont="1" applyFill="1" applyBorder="1" applyAlignment="1">
      <alignment horizontal="center" vertical="center" wrapText="1"/>
    </xf>
    <xf numFmtId="178" fontId="12" fillId="3" borderId="13" xfId="0" applyNumberFormat="1" applyFont="1" applyFill="1" applyBorder="1">
      <alignment vertical="center"/>
    </xf>
    <xf numFmtId="178" fontId="12" fillId="3" borderId="13" xfId="0" quotePrefix="1" applyNumberFormat="1" applyFont="1" applyFill="1" applyBorder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9" xfId="0" applyFont="1" applyFill="1" applyBorder="1">
      <alignment vertical="center"/>
    </xf>
    <xf numFmtId="0" fontId="3" fillId="3" borderId="0" xfId="0" applyFont="1" applyFill="1" applyAlignment="1">
      <alignment horizontal="left" vertical="center" wrapText="1"/>
    </xf>
    <xf numFmtId="176" fontId="3" fillId="3" borderId="1" xfId="0" applyNumberFormat="1" applyFont="1" applyFill="1" applyBorder="1">
      <alignment vertical="center"/>
    </xf>
    <xf numFmtId="178" fontId="7" fillId="3" borderId="13" xfId="0" quotePrefix="1" applyNumberFormat="1" applyFont="1" applyFill="1" applyBorder="1">
      <alignment vertical="center"/>
    </xf>
    <xf numFmtId="0" fontId="3" fillId="3" borderId="23" xfId="0" applyFont="1" applyFill="1" applyBorder="1" applyAlignment="1">
      <alignment horizontal="right" vertical="center"/>
    </xf>
    <xf numFmtId="177" fontId="14" fillId="3" borderId="13" xfId="0" applyNumberFormat="1" applyFont="1" applyFill="1" applyBorder="1" applyAlignment="1">
      <alignment horizontal="center" vertical="center"/>
    </xf>
    <xf numFmtId="178" fontId="3" fillId="3" borderId="13" xfId="0" applyNumberFormat="1" applyFont="1" applyFill="1" applyBorder="1">
      <alignment vertical="center"/>
    </xf>
    <xf numFmtId="0" fontId="2" fillId="3" borderId="13" xfId="0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2" fontId="15" fillId="0" borderId="0" xfId="0" applyNumberFormat="1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178" fontId="15" fillId="0" borderId="0" xfId="0" applyNumberFormat="1" applyFont="1">
      <alignment vertical="center"/>
    </xf>
    <xf numFmtId="0" fontId="20" fillId="0" borderId="0" xfId="0" applyFont="1">
      <alignment vertical="center"/>
    </xf>
    <xf numFmtId="0" fontId="15" fillId="0" borderId="7" xfId="0" applyFont="1" applyBorder="1">
      <alignment vertical="center"/>
    </xf>
    <xf numFmtId="0" fontId="16" fillId="0" borderId="27" xfId="0" applyFont="1" applyBorder="1" applyAlignment="1">
      <alignment horizontal="right" vertical="center"/>
    </xf>
    <xf numFmtId="0" fontId="19" fillId="0" borderId="6" xfId="0" applyFont="1" applyBorder="1">
      <alignment vertical="center"/>
    </xf>
    <xf numFmtId="178" fontId="19" fillId="0" borderId="0" xfId="0" applyNumberFormat="1" applyFont="1">
      <alignment vertical="center"/>
    </xf>
    <xf numFmtId="0" fontId="23" fillId="0" borderId="19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0" fillId="0" borderId="18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1" fillId="0" borderId="0" xfId="0" applyFont="1">
      <alignment vertical="center"/>
    </xf>
    <xf numFmtId="177" fontId="21" fillId="0" borderId="0" xfId="0" applyNumberFormat="1" applyFont="1" applyAlignment="1">
      <alignment horizontal="left" vertical="center" wrapText="1"/>
    </xf>
    <xf numFmtId="0" fontId="15" fillId="0" borderId="1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177" fontId="24" fillId="0" borderId="42" xfId="0" applyNumberFormat="1" applyFont="1" applyBorder="1" applyAlignment="1">
      <alignment horizontal="center" vertical="center" wrapText="1"/>
    </xf>
    <xf numFmtId="0" fontId="22" fillId="0" borderId="42" xfId="0" applyFont="1" applyBorder="1" applyAlignment="1">
      <alignment vertical="center" wrapText="1"/>
    </xf>
    <xf numFmtId="177" fontId="28" fillId="0" borderId="42" xfId="0" applyNumberFormat="1" applyFont="1" applyBorder="1" applyAlignment="1">
      <alignment horizontal="center" vertical="center" wrapText="1"/>
    </xf>
    <xf numFmtId="177" fontId="20" fillId="0" borderId="0" xfId="0" applyNumberFormat="1" applyFont="1" applyAlignment="1">
      <alignment horizontal="center" vertical="center" wrapText="1"/>
    </xf>
    <xf numFmtId="178" fontId="15" fillId="0" borderId="0" xfId="0" applyNumberFormat="1" applyFont="1" applyAlignment="1">
      <alignment horizontal="center" vertical="center"/>
    </xf>
    <xf numFmtId="2" fontId="17" fillId="0" borderId="0" xfId="0" applyNumberFormat="1" applyFont="1">
      <alignment vertical="center"/>
    </xf>
    <xf numFmtId="177" fontId="28" fillId="0" borderId="0" xfId="0" applyNumberFormat="1" applyFont="1" applyAlignment="1">
      <alignment horizontal="center" vertical="center" wrapText="1"/>
    </xf>
    <xf numFmtId="0" fontId="15" fillId="0" borderId="26" xfId="0" applyFont="1" applyBorder="1" applyAlignment="1">
      <alignment horizontal="left" vertical="center"/>
    </xf>
    <xf numFmtId="0" fontId="32" fillId="2" borderId="6" xfId="0" applyFont="1" applyFill="1" applyBorder="1">
      <alignment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30" xfId="0" applyFont="1" applyFill="1" applyBorder="1" applyAlignment="1">
      <alignment horizontal="center" vertical="center"/>
    </xf>
    <xf numFmtId="178" fontId="32" fillId="0" borderId="10" xfId="0" applyNumberFormat="1" applyFont="1" applyBorder="1">
      <alignment vertical="center"/>
    </xf>
    <xf numFmtId="178" fontId="32" fillId="2" borderId="11" xfId="0" applyNumberFormat="1" applyFont="1" applyFill="1" applyBorder="1">
      <alignment vertical="center"/>
    </xf>
    <xf numFmtId="178" fontId="32" fillId="2" borderId="3" xfId="0" applyNumberFormat="1" applyFont="1" applyFill="1" applyBorder="1">
      <alignment vertical="center"/>
    </xf>
    <xf numFmtId="178" fontId="32" fillId="0" borderId="15" xfId="0" applyNumberFormat="1" applyFont="1" applyBorder="1">
      <alignment vertical="center"/>
    </xf>
    <xf numFmtId="178" fontId="32" fillId="2" borderId="16" xfId="0" applyNumberFormat="1" applyFont="1" applyFill="1" applyBorder="1">
      <alignment vertical="center"/>
    </xf>
    <xf numFmtId="178" fontId="32" fillId="0" borderId="33" xfId="0" applyNumberFormat="1" applyFont="1" applyBorder="1" applyAlignment="1">
      <alignment horizontal="center" vertical="center"/>
    </xf>
    <xf numFmtId="178" fontId="32" fillId="0" borderId="2" xfId="0" applyNumberFormat="1" applyFont="1" applyBorder="1" applyAlignment="1">
      <alignment horizontal="center" vertical="center"/>
    </xf>
    <xf numFmtId="178" fontId="32" fillId="0" borderId="39" xfId="0" applyNumberFormat="1" applyFont="1" applyBorder="1" applyAlignment="1">
      <alignment horizontal="center" vertical="center"/>
    </xf>
    <xf numFmtId="178" fontId="32" fillId="0" borderId="8" xfId="0" applyNumberFormat="1" applyFont="1" applyBorder="1" applyAlignment="1">
      <alignment horizontal="center" vertical="center"/>
    </xf>
    <xf numFmtId="178" fontId="32" fillId="0" borderId="34" xfId="0" applyNumberFormat="1" applyFont="1" applyBorder="1">
      <alignment vertical="center"/>
    </xf>
    <xf numFmtId="178" fontId="32" fillId="0" borderId="31" xfId="0" applyNumberFormat="1" applyFont="1" applyBorder="1">
      <alignment vertical="center"/>
    </xf>
    <xf numFmtId="178" fontId="32" fillId="0" borderId="35" xfId="0" applyNumberFormat="1" applyFont="1" applyBorder="1">
      <alignment vertical="center"/>
    </xf>
    <xf numFmtId="178" fontId="32" fillId="0" borderId="32" xfId="0" applyNumberFormat="1" applyFont="1" applyBorder="1">
      <alignment vertical="center"/>
    </xf>
    <xf numFmtId="178" fontId="32" fillId="0" borderId="36" xfId="0" applyNumberFormat="1" applyFont="1" applyBorder="1">
      <alignment vertical="center"/>
    </xf>
    <xf numFmtId="178" fontId="32" fillId="0" borderId="37" xfId="0" applyNumberFormat="1" applyFont="1" applyBorder="1">
      <alignment vertical="center"/>
    </xf>
    <xf numFmtId="178" fontId="34" fillId="0" borderId="24" xfId="0" applyNumberFormat="1" applyFont="1" applyBorder="1">
      <alignment vertical="center"/>
    </xf>
    <xf numFmtId="2" fontId="34" fillId="0" borderId="6" xfId="0" applyNumberFormat="1" applyFont="1" applyBorder="1">
      <alignment vertical="center"/>
    </xf>
    <xf numFmtId="1" fontId="35" fillId="0" borderId="28" xfId="0" applyNumberFormat="1" applyFont="1" applyBorder="1">
      <alignment vertical="center"/>
    </xf>
    <xf numFmtId="177" fontId="35" fillId="0" borderId="42" xfId="0" applyNumberFormat="1" applyFont="1" applyBorder="1" applyAlignment="1">
      <alignment horizontal="right" vertical="center" wrapText="1"/>
    </xf>
    <xf numFmtId="177" fontId="29" fillId="0" borderId="28" xfId="0" applyNumberFormat="1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/>
    </xf>
    <xf numFmtId="178" fontId="31" fillId="0" borderId="13" xfId="0" applyNumberFormat="1" applyFont="1" applyBorder="1">
      <alignment vertical="center"/>
    </xf>
    <xf numFmtId="0" fontId="20" fillId="0" borderId="6" xfId="0" applyFont="1" applyBorder="1">
      <alignment vertical="center"/>
    </xf>
    <xf numFmtId="178" fontId="20" fillId="0" borderId="0" xfId="0" applyNumberFormat="1" applyFont="1">
      <alignment vertical="center"/>
    </xf>
    <xf numFmtId="0" fontId="20" fillId="0" borderId="29" xfId="0" applyFont="1" applyBorder="1" applyAlignment="1">
      <alignment horizontal="left" wrapText="1"/>
    </xf>
    <xf numFmtId="178" fontId="20" fillId="0" borderId="13" xfId="0" applyNumberFormat="1" applyFont="1" applyBorder="1" applyAlignment="1">
      <alignment vertical="center" wrapText="1"/>
    </xf>
    <xf numFmtId="177" fontId="15" fillId="0" borderId="40" xfId="0" applyNumberFormat="1" applyFont="1" applyBorder="1" applyAlignment="1">
      <alignment horizontal="center" vertical="center"/>
    </xf>
    <xf numFmtId="177" fontId="25" fillId="0" borderId="6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78" fontId="31" fillId="0" borderId="11" xfId="0" applyNumberFormat="1" applyFont="1" applyBorder="1" applyAlignment="1">
      <alignment horizontal="center" vertical="center"/>
    </xf>
    <xf numFmtId="178" fontId="31" fillId="0" borderId="3" xfId="0" applyNumberFormat="1" applyFont="1" applyBorder="1" applyAlignment="1">
      <alignment horizontal="center" vertical="center"/>
    </xf>
    <xf numFmtId="178" fontId="31" fillId="0" borderId="8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28" xfId="0" applyFont="1" applyBorder="1" applyAlignment="1">
      <alignment vertical="center" wrapText="1"/>
    </xf>
    <xf numFmtId="176" fontId="33" fillId="2" borderId="2" xfId="0" applyNumberFormat="1" applyFont="1" applyFill="1" applyBorder="1" applyAlignment="1">
      <alignment horizontal="right" vertical="center"/>
    </xf>
    <xf numFmtId="176" fontId="33" fillId="2" borderId="8" xfId="0" applyNumberFormat="1" applyFont="1" applyFill="1" applyBorder="1">
      <alignment vertical="center"/>
    </xf>
    <xf numFmtId="176" fontId="33" fillId="0" borderId="12" xfId="0" applyNumberFormat="1" applyFont="1" applyBorder="1">
      <alignment vertical="center"/>
    </xf>
    <xf numFmtId="176" fontId="33" fillId="0" borderId="13" xfId="0" applyNumberFormat="1" applyFont="1" applyBorder="1">
      <alignment vertical="center"/>
    </xf>
    <xf numFmtId="0" fontId="36" fillId="0" borderId="0" xfId="0" applyFont="1" applyAlignment="1">
      <alignment vertical="center" wrapText="1"/>
    </xf>
    <xf numFmtId="0" fontId="0" fillId="0" borderId="0" xfId="0">
      <alignment vertical="center"/>
    </xf>
    <xf numFmtId="14" fontId="15" fillId="2" borderId="19" xfId="0" applyNumberFormat="1" applyFont="1" applyFill="1" applyBorder="1" applyAlignment="1">
      <alignment horizontal="center" vertical="center"/>
    </xf>
    <xf numFmtId="14" fontId="15" fillId="2" borderId="24" xfId="0" applyNumberFormat="1" applyFont="1" applyFill="1" applyBorder="1" applyAlignment="1">
      <alignment horizontal="center" vertical="center"/>
    </xf>
    <xf numFmtId="14" fontId="15" fillId="2" borderId="7" xfId="0" applyNumberFormat="1" applyFont="1" applyFill="1" applyBorder="1" applyAlignment="1">
      <alignment horizontal="center" vertical="center"/>
    </xf>
    <xf numFmtId="0" fontId="27" fillId="0" borderId="13" xfId="0" applyFont="1" applyBorder="1" applyAlignment="1">
      <alignment vertical="center" wrapText="1"/>
    </xf>
    <xf numFmtId="177" fontId="27" fillId="0" borderId="14" xfId="0" applyNumberFormat="1" applyFont="1" applyBorder="1" applyAlignment="1">
      <alignment horizontal="left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178" fontId="25" fillId="0" borderId="28" xfId="0" applyNumberFormat="1" applyFont="1" applyBorder="1" applyAlignment="1">
      <alignment horizontal="center" vertical="center" wrapText="1"/>
    </xf>
    <xf numFmtId="178" fontId="25" fillId="0" borderId="41" xfId="0" applyNumberFormat="1" applyFont="1" applyBorder="1" applyAlignment="1">
      <alignment horizontal="center" vertical="center" wrapText="1"/>
    </xf>
    <xf numFmtId="177" fontId="27" fillId="0" borderId="4" xfId="0" applyNumberFormat="1" applyFont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77" fontId="4" fillId="3" borderId="26" xfId="0" applyNumberFormat="1" applyFont="1" applyFill="1" applyBorder="1" applyAlignment="1">
      <alignment horizontal="left" vertical="center" wrapText="1"/>
    </xf>
    <xf numFmtId="177" fontId="4" fillId="3" borderId="0" xfId="0" applyNumberFormat="1" applyFont="1" applyFill="1" applyAlignment="1">
      <alignment horizontal="left" vertical="center" wrapText="1"/>
    </xf>
  </cellXfs>
  <cellStyles count="1">
    <cellStyle name="標準" xfId="0" builtinId="0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( </a:t>
            </a:r>
            <a:r>
              <a:rPr lang="ja-JP" altLang="en-US"/>
              <a:t>測定）累乗近似式</a:t>
            </a:r>
            <a:endParaRPr lang="ja-JP"/>
          </a:p>
        </c:rich>
      </c:tx>
      <c:layout>
        <c:manualLayout>
          <c:xMode val="edge"/>
          <c:yMode val="edge"/>
          <c:x val="2.646618093761060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997527168608059"/>
          <c:y val="0.11627503680393297"/>
          <c:w val="0.65439122795600968"/>
          <c:h val="0.6541993120425164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sheet1!$I$33</c:f>
              <c:strCache>
                <c:ptCount val="1"/>
                <c:pt idx="0">
                  <c:v>測定値記入欄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38100" cap="rnd">
                <a:solidFill>
                  <a:schemeClr val="tx1"/>
                </a:solidFill>
                <a:prstDash val="sysDash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10013727355912741"/>
                  <c:y val="-0.344511704089473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sheet1!$I$35:$I$38</c:f>
              <c:numCache>
                <c:formatCode>0.0</c:formatCode>
                <c:ptCount val="4"/>
                <c:pt idx="0">
                  <c:v>20.5</c:v>
                </c:pt>
                <c:pt idx="1">
                  <c:v>66</c:v>
                </c:pt>
                <c:pt idx="2">
                  <c:v>92.2</c:v>
                </c:pt>
                <c:pt idx="3">
                  <c:v>134.6</c:v>
                </c:pt>
              </c:numCache>
            </c:numRef>
          </c:xVal>
          <c:yVal>
            <c:numRef>
              <c:f>sheet1!$I$41:$I$44</c:f>
              <c:numCache>
                <c:formatCode>0.0</c:formatCode>
                <c:ptCount val="4"/>
                <c:pt idx="0">
                  <c:v>27.630631825552005</c:v>
                </c:pt>
                <c:pt idx="1">
                  <c:v>29.238763836562967</c:v>
                </c:pt>
                <c:pt idx="2">
                  <c:v>37.291954790404887</c:v>
                </c:pt>
                <c:pt idx="3">
                  <c:v>53.331505237890852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85-4BEB-B8BB-664541E26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784288"/>
        <c:axId val="656782320"/>
      </c:scatterChart>
      <c:valAx>
        <c:axId val="656784288"/>
        <c:scaling>
          <c:logBase val="10"/>
          <c:orientation val="minMax"/>
          <c:max val="200"/>
        </c:scaling>
        <c:delete val="0"/>
        <c:axPos val="b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prstDash val="sysDot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２</a:t>
                </a:r>
                <a:r>
                  <a:rPr lang="en-US" altLang="ja-JP" sz="1400" baseline="0"/>
                  <a:t>-MIB</a:t>
                </a:r>
                <a:r>
                  <a:rPr lang="ja-JP" altLang="en-US" sz="1400" baseline="0"/>
                  <a:t>濃度</a:t>
                </a:r>
                <a:r>
                  <a:rPr lang="en-US" altLang="ja-JP" sz="1400" baseline="0"/>
                  <a:t>(ng/L)</a:t>
                </a:r>
                <a:endParaRPr lang="ja-JP" altLang="en-US" sz="14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3175" cap="flat" cmpd="sng" algn="ctr">
            <a:solidFill>
              <a:schemeClr val="tx1">
                <a:alpha val="83000"/>
              </a:schemeClr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782320"/>
        <c:crosses val="autoZero"/>
        <c:crossBetween val="midCat"/>
      </c:valAx>
      <c:valAx>
        <c:axId val="656782320"/>
        <c:scaling>
          <c:logBase val="10"/>
          <c:orientation val="minMax"/>
          <c:max val="1000"/>
        </c:scaling>
        <c:delete val="0"/>
        <c:axPos val="l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prstDash val="sysDot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２</a:t>
                </a:r>
                <a:r>
                  <a:rPr lang="en-US" altLang="ja-JP" sz="1400" baseline="0"/>
                  <a:t>-MIB</a:t>
                </a:r>
                <a:r>
                  <a:rPr lang="ja-JP" altLang="en-US" sz="1400" baseline="0"/>
                  <a:t>吸着量</a:t>
                </a:r>
                <a:r>
                  <a:rPr lang="en-US" altLang="ja-JP" sz="1400" baseline="0"/>
                  <a:t>(</a:t>
                </a:r>
                <a:r>
                  <a:rPr lang="ja-JP" altLang="en-US" sz="1400" baseline="0"/>
                  <a:t>２</a:t>
                </a:r>
                <a:r>
                  <a:rPr lang="en-US" altLang="ja-JP" sz="1400" baseline="0"/>
                  <a:t>-MIB</a:t>
                </a:r>
                <a:r>
                  <a:rPr lang="ja-JP" altLang="en-US" sz="1400" baseline="0"/>
                  <a:t>吸着量</a:t>
                </a:r>
                <a:r>
                  <a:rPr lang="en-US" altLang="ja-JP" sz="1400" baseline="0"/>
                  <a:t>ng/ACmg)</a:t>
                </a:r>
                <a:endParaRPr lang="ja-JP" altLang="en-US" sz="1400" baseline="0"/>
              </a:p>
            </c:rich>
          </c:tx>
          <c:layout>
            <c:manualLayout>
              <c:xMode val="edge"/>
              <c:yMode val="edge"/>
              <c:x val="7.3858930772232517E-2"/>
              <c:y val="0.248280083200912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784288"/>
        <c:crosses val="autoZero"/>
        <c:crossBetween val="midCat"/>
        <c:majorUnit val="10"/>
      </c:valAx>
      <c:spPr>
        <a:noFill/>
        <a:ln w="28575">
          <a:solidFill>
            <a:schemeClr val="tx1"/>
          </a:solidFill>
          <a:prstDash val="solid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aseline="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( </a:t>
            </a:r>
            <a:r>
              <a:rPr lang="ja-JP" altLang="en-US"/>
              <a:t>入力例）累乗近似式</a:t>
            </a:r>
            <a:endParaRPr lang="ja-JP"/>
          </a:p>
        </c:rich>
      </c:tx>
      <c:layout>
        <c:manualLayout>
          <c:xMode val="edge"/>
          <c:yMode val="edge"/>
          <c:x val="2.646618093761060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0141448535149323"/>
          <c:y val="0.11627503680393297"/>
          <c:w val="0.60523728452862313"/>
          <c:h val="0.6541993120425164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sheet1!$H$33</c:f>
              <c:strCache>
                <c:ptCount val="1"/>
                <c:pt idx="0">
                  <c:v>入力例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38100" cap="rnd">
                <a:solidFill>
                  <a:schemeClr val="tx1"/>
                </a:solidFill>
                <a:prstDash val="sysDash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2.4806689006256006E-2"/>
                  <c:y val="0.223511507293488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sheet1!$H$35:$H$38</c:f>
              <c:numCache>
                <c:formatCode>0.0</c:formatCode>
                <c:ptCount val="4"/>
                <c:pt idx="0">
                  <c:v>6.9</c:v>
                </c:pt>
                <c:pt idx="1">
                  <c:v>15.6</c:v>
                </c:pt>
                <c:pt idx="2">
                  <c:v>17.899999999999999</c:v>
                </c:pt>
                <c:pt idx="3">
                  <c:v>76.3</c:v>
                </c:pt>
              </c:numCache>
            </c:numRef>
          </c:xVal>
          <c:yVal>
            <c:numRef>
              <c:f>sheet1!$H$41:$H$44</c:f>
              <c:numCache>
                <c:formatCode>0.0</c:formatCode>
                <c:ptCount val="4"/>
                <c:pt idx="0">
                  <c:v>29.071685186068322</c:v>
                </c:pt>
                <c:pt idx="1">
                  <c:v>37.308662655454349</c:v>
                </c:pt>
                <c:pt idx="2">
                  <c:v>55.38657263897499</c:v>
                </c:pt>
                <c:pt idx="3">
                  <c:v>81.500965711288089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83-49A1-BF6E-EDF89E89A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784288"/>
        <c:axId val="656782320"/>
      </c:scatterChart>
      <c:valAx>
        <c:axId val="65678428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残留２</a:t>
                </a:r>
                <a:r>
                  <a:rPr lang="en-US" altLang="ja-JP" sz="1400" baseline="0"/>
                  <a:t>-MIB</a:t>
                </a:r>
                <a:r>
                  <a:rPr lang="ja-JP" altLang="en-US" sz="1400" baseline="0"/>
                  <a:t>濃度</a:t>
                </a:r>
                <a:r>
                  <a:rPr lang="en-US" altLang="ja-JP" sz="1400" baseline="0"/>
                  <a:t>(ng/L)</a:t>
                </a:r>
                <a:endParaRPr lang="ja-JP" altLang="en-US" sz="14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782320"/>
        <c:crosses val="autoZero"/>
        <c:crossBetween val="midCat"/>
      </c:valAx>
      <c:valAx>
        <c:axId val="656782320"/>
        <c:scaling>
          <c:logBase val="10"/>
          <c:orientation val="minMax"/>
        </c:scaling>
        <c:delete val="0"/>
        <c:axPos val="l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prstDash val="sysDot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２</a:t>
                </a:r>
                <a:r>
                  <a:rPr lang="en-US" altLang="ja-JP" sz="1400" baseline="0"/>
                  <a:t>-MIB</a:t>
                </a:r>
                <a:r>
                  <a:rPr lang="ja-JP" altLang="en-US" sz="1400" baseline="0"/>
                  <a:t>吸着量</a:t>
                </a:r>
                <a:r>
                  <a:rPr lang="en-US" altLang="ja-JP" sz="1400" baseline="0"/>
                  <a:t>(</a:t>
                </a:r>
                <a:r>
                  <a:rPr lang="ja-JP" altLang="en-US" sz="1400" baseline="0"/>
                  <a:t>２</a:t>
                </a:r>
                <a:r>
                  <a:rPr lang="en-US" altLang="ja-JP" sz="1400" baseline="0"/>
                  <a:t>-MIB</a:t>
                </a:r>
                <a:r>
                  <a:rPr lang="ja-JP" altLang="en-US" sz="1400" baseline="0"/>
                  <a:t>吸着量</a:t>
                </a:r>
                <a:r>
                  <a:rPr lang="en-US" altLang="ja-JP" sz="1400" baseline="0"/>
                  <a:t>ng/ACmg)</a:t>
                </a:r>
                <a:endParaRPr lang="ja-JP" altLang="en-US" sz="1400" baseline="0"/>
              </a:p>
            </c:rich>
          </c:tx>
          <c:layout>
            <c:manualLayout>
              <c:xMode val="edge"/>
              <c:yMode val="edge"/>
              <c:x val="0"/>
              <c:y val="0.22935698255109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.0" sourceLinked="1"/>
        <c:majorTickMark val="in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784288"/>
        <c:crosses val="autoZero"/>
        <c:crossBetween val="midCat"/>
      </c:valAx>
      <c:spPr>
        <a:noFill/>
        <a:ln w="28575">
          <a:solidFill>
            <a:schemeClr val="tx1"/>
          </a:solidFill>
          <a:prstDash val="solid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aseline="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( </a:t>
            </a:r>
            <a:r>
              <a:rPr lang="ja-JP" altLang="en-US"/>
              <a:t>測定）累乗近似式</a:t>
            </a:r>
            <a:endParaRPr lang="ja-JP"/>
          </a:p>
        </c:rich>
      </c:tx>
      <c:layout>
        <c:manualLayout>
          <c:xMode val="edge"/>
          <c:yMode val="edge"/>
          <c:x val="2.646618093761060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997527168608059"/>
          <c:y val="0.11627503680393297"/>
          <c:w val="0.65439122795600968"/>
          <c:h val="0.6541993120425164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sheet1!$I$33</c:f>
              <c:strCache>
                <c:ptCount val="1"/>
                <c:pt idx="0">
                  <c:v>測定値記入欄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38100" cap="rnd">
                <a:solidFill>
                  <a:schemeClr val="tx1"/>
                </a:solidFill>
                <a:prstDash val="sysDash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4.466560091612664E-2"/>
                  <c:y val="-0.170183521981627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sheet1!$I$35:$I$38</c:f>
              <c:numCache>
                <c:formatCode>0.0</c:formatCode>
                <c:ptCount val="4"/>
                <c:pt idx="0">
                  <c:v>20.5</c:v>
                </c:pt>
                <c:pt idx="1">
                  <c:v>66</c:v>
                </c:pt>
                <c:pt idx="2">
                  <c:v>92.2</c:v>
                </c:pt>
                <c:pt idx="3">
                  <c:v>134.6</c:v>
                </c:pt>
              </c:numCache>
            </c:numRef>
          </c:xVal>
          <c:yVal>
            <c:numRef>
              <c:f>sheet1!$I$41:$I$44</c:f>
              <c:numCache>
                <c:formatCode>0.0</c:formatCode>
                <c:ptCount val="4"/>
                <c:pt idx="0">
                  <c:v>27.630631825552005</c:v>
                </c:pt>
                <c:pt idx="1">
                  <c:v>29.238763836562967</c:v>
                </c:pt>
                <c:pt idx="2">
                  <c:v>37.291954790404887</c:v>
                </c:pt>
                <c:pt idx="3">
                  <c:v>53.331505237890852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E0-48CC-8B13-72F013CB6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784288"/>
        <c:axId val="656782320"/>
      </c:scatterChart>
      <c:valAx>
        <c:axId val="656784288"/>
        <c:scaling>
          <c:logBase val="10"/>
          <c:orientation val="minMax"/>
          <c:max val="200"/>
        </c:scaling>
        <c:delete val="0"/>
        <c:axPos val="b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prstDash val="sysDot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残留２</a:t>
                </a:r>
                <a:r>
                  <a:rPr lang="en-US" altLang="ja-JP" sz="1400" baseline="0"/>
                  <a:t>-MIB</a:t>
                </a:r>
                <a:r>
                  <a:rPr lang="ja-JP" altLang="en-US" sz="1400" baseline="0"/>
                  <a:t>濃度</a:t>
                </a:r>
                <a:r>
                  <a:rPr lang="en-US" altLang="ja-JP" sz="1400" baseline="0"/>
                  <a:t>(ng/L)</a:t>
                </a:r>
                <a:endParaRPr lang="ja-JP" altLang="en-US" sz="14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.0" sourceLinked="1"/>
        <c:majorTickMark val="in"/>
        <c:minorTickMark val="in"/>
        <c:tickLblPos val="nextTo"/>
        <c:spPr>
          <a:noFill/>
          <a:ln w="3175" cap="flat" cmpd="sng" algn="ctr">
            <a:solidFill>
              <a:schemeClr val="tx1">
                <a:alpha val="83000"/>
              </a:schemeClr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782320"/>
        <c:crosses val="autoZero"/>
        <c:crossBetween val="midCat"/>
      </c:valAx>
      <c:valAx>
        <c:axId val="656782320"/>
        <c:scaling>
          <c:logBase val="10"/>
          <c:orientation val="minMax"/>
          <c:max val="1000"/>
        </c:scaling>
        <c:delete val="0"/>
        <c:axPos val="l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prstDash val="sysDot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２</a:t>
                </a:r>
                <a:r>
                  <a:rPr lang="en-US" altLang="ja-JP" sz="1400" baseline="0"/>
                  <a:t>-MIB</a:t>
                </a:r>
                <a:r>
                  <a:rPr lang="ja-JP" altLang="en-US" sz="1400" baseline="0"/>
                  <a:t>吸着量</a:t>
                </a:r>
                <a:r>
                  <a:rPr lang="en-US" altLang="ja-JP" sz="1400" baseline="0"/>
                  <a:t>(</a:t>
                </a:r>
                <a:r>
                  <a:rPr lang="ja-JP" altLang="en-US" sz="1400" baseline="0"/>
                  <a:t>２</a:t>
                </a:r>
                <a:r>
                  <a:rPr lang="en-US" altLang="ja-JP" sz="1400" baseline="0"/>
                  <a:t>-MIB</a:t>
                </a:r>
                <a:r>
                  <a:rPr lang="ja-JP" altLang="en-US" sz="1400" baseline="0"/>
                  <a:t>吸着量</a:t>
                </a:r>
                <a:r>
                  <a:rPr lang="en-US" altLang="ja-JP" sz="1400" baseline="0"/>
                  <a:t>ng/ACmg)</a:t>
                </a:r>
                <a:endParaRPr lang="ja-JP" altLang="en-US" sz="1400" baseline="0"/>
              </a:p>
            </c:rich>
          </c:tx>
          <c:layout>
            <c:manualLayout>
              <c:xMode val="edge"/>
              <c:yMode val="edge"/>
              <c:x val="0"/>
              <c:y val="0.22935698255109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784288"/>
        <c:crosses val="autoZero"/>
        <c:crossBetween val="midCat"/>
      </c:valAx>
      <c:spPr>
        <a:noFill/>
        <a:ln w="28575">
          <a:solidFill>
            <a:schemeClr val="tx1"/>
          </a:solidFill>
          <a:prstDash val="solid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aseline="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299720</xdr:colOff>
      <xdr:row>0</xdr:row>
      <xdr:rowOff>378460</xdr:rowOff>
    </xdr:from>
    <xdr:to>
      <xdr:col>13</xdr:col>
      <xdr:colOff>1012916</xdr:colOff>
      <xdr:row>17</xdr:row>
      <xdr:rowOff>268907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3A0E562-00F4-4115-B731-25316E63D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200025</xdr:rowOff>
    </xdr:from>
    <xdr:to>
      <xdr:col>6</xdr:col>
      <xdr:colOff>981075</xdr:colOff>
      <xdr:row>44</xdr:row>
      <xdr:rowOff>4331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3ECBF2A-868D-4CC4-A9B9-9260B57C7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981075</xdr:colOff>
      <xdr:row>28</xdr:row>
      <xdr:rowOff>180975</xdr:rowOff>
    </xdr:from>
    <xdr:to>
      <xdr:col>13</xdr:col>
      <xdr:colOff>1066799</xdr:colOff>
      <xdr:row>43</xdr:row>
      <xdr:rowOff>314325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1C838D9-2DE4-4AD6-8C0A-941821363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5B6A-FB7B-42D9-BCC6-6174B58C788E}">
  <dimension ref="B1:O26"/>
  <sheetViews>
    <sheetView showGridLines="0" tabSelected="1" zoomScale="90" zoomScaleNormal="90" zoomScaleSheetLayoutView="100" workbookViewId="0">
      <selection activeCell="E2" sqref="E2:G2"/>
    </sheetView>
  </sheetViews>
  <sheetFormatPr defaultColWidth="9" defaultRowHeight="13.2"/>
  <cols>
    <col min="1" max="1" width="1.296875" style="54" customWidth="1"/>
    <col min="2" max="2" width="22.19921875" style="54" customWidth="1"/>
    <col min="3" max="3" width="12.5" style="54" customWidth="1"/>
    <col min="4" max="4" width="11.19921875" style="54" customWidth="1"/>
    <col min="5" max="5" width="3.296875" style="54" customWidth="1"/>
    <col min="6" max="6" width="6.19921875" style="54" customWidth="1"/>
    <col min="7" max="7" width="24" style="54" customWidth="1"/>
    <col min="8" max="9" width="13.296875" style="54" customWidth="1"/>
    <col min="10" max="10" width="4.796875" style="54" customWidth="1"/>
    <col min="11" max="11" width="9.69921875" style="54" customWidth="1"/>
    <col min="12" max="12" width="57.69921875" style="54" customWidth="1"/>
    <col min="13" max="13" width="7.69921875" style="54" customWidth="1"/>
    <col min="14" max="14" width="56" style="54" customWidth="1"/>
    <col min="15" max="15" width="9.69921875" style="54" customWidth="1"/>
    <col min="16" max="16" width="7.69921875" style="54" customWidth="1"/>
    <col min="17" max="17" width="7" style="54" bestFit="1" customWidth="1"/>
    <col min="18" max="18" width="8.69921875" style="54" bestFit="1" customWidth="1"/>
    <col min="19" max="16384" width="9" style="54"/>
  </cols>
  <sheetData>
    <row r="1" spans="2:15" ht="40.200000000000003" customHeight="1" thickBot="1">
      <c r="B1" s="130" t="s">
        <v>57</v>
      </c>
      <c r="C1" s="131"/>
      <c r="D1" s="131"/>
      <c r="E1" s="131"/>
      <c r="F1" s="131"/>
      <c r="G1" s="131"/>
      <c r="H1" s="131"/>
      <c r="I1" s="131"/>
    </row>
    <row r="2" spans="2:15" ht="18" thickBot="1">
      <c r="B2" s="69" t="s">
        <v>41</v>
      </c>
      <c r="C2" s="68"/>
      <c r="D2" s="70" t="s">
        <v>31</v>
      </c>
      <c r="E2" s="132">
        <v>46112</v>
      </c>
      <c r="F2" s="133"/>
      <c r="G2" s="134"/>
      <c r="H2" s="54" t="s">
        <v>32</v>
      </c>
    </row>
    <row r="3" spans="2:15" ht="18.600000000000001" thickBot="1">
      <c r="B3" s="68"/>
      <c r="C3" s="68"/>
      <c r="D3" s="70" t="s">
        <v>28</v>
      </c>
      <c r="E3" s="144" t="s">
        <v>33</v>
      </c>
      <c r="F3" s="145"/>
      <c r="G3" s="145"/>
      <c r="H3" s="145"/>
      <c r="I3" s="145"/>
      <c r="J3" s="145"/>
      <c r="K3" s="86"/>
    </row>
    <row r="4" spans="2:15" ht="16.8" thickBot="1">
      <c r="B4" s="63" t="s">
        <v>30</v>
      </c>
      <c r="C4" s="55"/>
      <c r="D4" s="57" t="s">
        <v>37</v>
      </c>
      <c r="E4" s="57"/>
      <c r="F4" s="67"/>
      <c r="G4" s="87">
        <v>0.104</v>
      </c>
      <c r="H4" s="68" t="s">
        <v>46</v>
      </c>
      <c r="K4" s="66"/>
    </row>
    <row r="5" spans="2:15" ht="34.5" customHeight="1" thickBot="1">
      <c r="B5" s="71" t="s">
        <v>42</v>
      </c>
      <c r="C5" s="126">
        <v>5.0449999999999999</v>
      </c>
      <c r="L5" s="56"/>
      <c r="M5" s="56"/>
      <c r="N5" s="56"/>
      <c r="O5" s="56"/>
    </row>
    <row r="6" spans="2:15" s="57" customFormat="1" ht="27" thickBot="1">
      <c r="B6" s="72" t="s">
        <v>43</v>
      </c>
      <c r="C6" s="127">
        <v>4.8390000000000004</v>
      </c>
      <c r="G6" s="137" t="s">
        <v>58</v>
      </c>
      <c r="H6" s="139" t="s">
        <v>56</v>
      </c>
      <c r="I6" s="140"/>
      <c r="J6" s="70"/>
      <c r="K6" s="54"/>
      <c r="L6" s="54"/>
      <c r="M6" s="54"/>
    </row>
    <row r="7" spans="2:15" s="58" customFormat="1" ht="28.5" customHeight="1" thickBot="1">
      <c r="B7" s="73" t="s">
        <v>44</v>
      </c>
      <c r="C7" s="128">
        <v>0.104</v>
      </c>
      <c r="F7" s="57" t="s">
        <v>7</v>
      </c>
      <c r="G7" s="138"/>
      <c r="H7" s="117" t="s">
        <v>4</v>
      </c>
      <c r="I7" s="118" t="s">
        <v>5</v>
      </c>
      <c r="J7" s="82"/>
      <c r="K7" s="54"/>
      <c r="L7" s="54"/>
      <c r="M7" s="54"/>
    </row>
    <row r="8" spans="2:15" ht="24.75" customHeight="1">
      <c r="B8" s="73" t="s">
        <v>45</v>
      </c>
      <c r="C8" s="129">
        <f>C7*(C6/C5)</f>
        <v>9.9753419226957393E-2</v>
      </c>
      <c r="F8" s="57" t="s">
        <v>7</v>
      </c>
      <c r="G8" s="88">
        <v>16</v>
      </c>
      <c r="H8" s="91">
        <v>6.9</v>
      </c>
      <c r="I8" s="92">
        <v>20.5</v>
      </c>
      <c r="J8" s="59"/>
    </row>
    <row r="9" spans="2:15" ht="24.75" customHeight="1">
      <c r="B9" s="57"/>
      <c r="C9" s="59"/>
      <c r="F9" s="57" t="s">
        <v>7</v>
      </c>
      <c r="G9" s="89">
        <v>12</v>
      </c>
      <c r="H9" s="91">
        <v>15.6</v>
      </c>
      <c r="I9" s="93">
        <v>66</v>
      </c>
      <c r="J9" s="59"/>
    </row>
    <row r="10" spans="2:15" ht="24.75" customHeight="1">
      <c r="B10" s="57"/>
      <c r="C10" s="59"/>
      <c r="F10" s="57" t="s">
        <v>7</v>
      </c>
      <c r="G10" s="89">
        <v>8</v>
      </c>
      <c r="H10" s="91">
        <v>17.899999999999999</v>
      </c>
      <c r="I10" s="93">
        <v>92.2</v>
      </c>
      <c r="J10" s="59"/>
    </row>
    <row r="11" spans="2:15" ht="25.05" customHeight="1">
      <c r="C11" s="64"/>
      <c r="G11" s="90">
        <v>4</v>
      </c>
      <c r="H11" s="91">
        <v>76.3</v>
      </c>
      <c r="I11" s="93">
        <v>134.6</v>
      </c>
      <c r="J11" s="59"/>
    </row>
    <row r="12" spans="2:15" ht="35.25" customHeight="1" thickBot="1">
      <c r="C12" s="64"/>
      <c r="G12" s="77" t="s">
        <v>47</v>
      </c>
      <c r="H12" s="94">
        <v>238.9</v>
      </c>
      <c r="I12" s="95">
        <v>241</v>
      </c>
      <c r="J12" s="59"/>
    </row>
    <row r="13" spans="2:15" ht="35.25" customHeight="1" thickBot="1">
      <c r="C13" s="64"/>
      <c r="G13" s="119" t="s">
        <v>60</v>
      </c>
      <c r="H13" s="96" t="str">
        <f>IF(MIN(H8:H11)&gt;20,"NO","YES")</f>
        <v>YES</v>
      </c>
      <c r="I13" s="97" t="str">
        <f>IF(MIN(I8:I11)&gt;20,"NO","YES")</f>
        <v>NO</v>
      </c>
      <c r="J13" s="83"/>
    </row>
    <row r="14" spans="2:15" ht="34.5" customHeight="1" thickBot="1">
      <c r="B14" s="113" t="s">
        <v>51</v>
      </c>
      <c r="C14" s="114"/>
      <c r="G14" s="120" t="s">
        <v>61</v>
      </c>
      <c r="H14" s="98" t="str">
        <f>IF(H$12&lt;160,"NO",IF(H$12&gt;240,"NO","YES"))</f>
        <v>YES</v>
      </c>
      <c r="I14" s="99" t="str">
        <f>IF(I$12&lt;160,"NO",IF(I$12&gt;240,"NO","YES"))</f>
        <v>NO</v>
      </c>
      <c r="J14" s="83"/>
    </row>
    <row r="15" spans="2:15" ht="49.5" customHeight="1" thickBot="1">
      <c r="B15" s="115" t="s">
        <v>52</v>
      </c>
      <c r="C15" s="116" t="s">
        <v>53</v>
      </c>
    </row>
    <row r="16" spans="2:15" ht="25.05" customHeight="1" thickBot="1">
      <c r="B16" s="111">
        <v>8</v>
      </c>
      <c r="C16" s="112">
        <f>C$8*G8</f>
        <v>1.5960547076313183</v>
      </c>
      <c r="G16" s="141" t="s">
        <v>59</v>
      </c>
      <c r="H16" s="139" t="s">
        <v>48</v>
      </c>
      <c r="I16" s="140"/>
      <c r="J16" s="70"/>
    </row>
    <row r="17" spans="2:10" ht="25.05" customHeight="1" thickBot="1">
      <c r="B17" s="111">
        <v>6</v>
      </c>
      <c r="C17" s="112">
        <f>C$8*G9</f>
        <v>1.1970410307234887</v>
      </c>
      <c r="F17" s="57" t="s">
        <v>49</v>
      </c>
      <c r="G17" s="142"/>
      <c r="H17" s="76" t="s">
        <v>38</v>
      </c>
      <c r="I17" s="78" t="s">
        <v>39</v>
      </c>
      <c r="J17" s="70"/>
    </row>
    <row r="18" spans="2:10" ht="24" customHeight="1">
      <c r="B18" s="111">
        <v>4</v>
      </c>
      <c r="C18" s="112">
        <f>C$8*G10</f>
        <v>0.79802735381565915</v>
      </c>
      <c r="F18" s="57" t="s">
        <v>49</v>
      </c>
      <c r="G18" s="121">
        <f>C16</f>
        <v>1.5960547076313183</v>
      </c>
      <c r="H18" s="100">
        <f t="shared" ref="H18:I21" si="0">(H$12-H8)*0.2/$C16</f>
        <v>29.071685186068322</v>
      </c>
      <c r="I18" s="101">
        <f t="shared" si="0"/>
        <v>27.630631825552005</v>
      </c>
      <c r="J18" s="59"/>
    </row>
    <row r="19" spans="2:10" ht="24.75" customHeight="1">
      <c r="B19" s="111">
        <v>2</v>
      </c>
      <c r="C19" s="112">
        <f>C$8*G11</f>
        <v>0.39901367690782957</v>
      </c>
      <c r="F19" s="57" t="s">
        <v>49</v>
      </c>
      <c r="G19" s="122">
        <f>C17</f>
        <v>1.1970410307234887</v>
      </c>
      <c r="H19" s="102">
        <f t="shared" si="0"/>
        <v>37.308662655454349</v>
      </c>
      <c r="I19" s="103">
        <f t="shared" si="0"/>
        <v>29.238763836562967</v>
      </c>
      <c r="J19" s="59"/>
    </row>
    <row r="20" spans="2:10" ht="27" customHeight="1" thickBot="1">
      <c r="B20" s="60" t="s">
        <v>54</v>
      </c>
      <c r="F20" s="57" t="s">
        <v>49</v>
      </c>
      <c r="G20" s="122">
        <f>C18</f>
        <v>0.79802735381565915</v>
      </c>
      <c r="H20" s="102">
        <f t="shared" si="0"/>
        <v>55.38657263897499</v>
      </c>
      <c r="I20" s="103">
        <f t="shared" si="0"/>
        <v>37.291954790404887</v>
      </c>
      <c r="J20" s="59"/>
    </row>
    <row r="21" spans="2:10" ht="32.25" customHeight="1" thickBot="1">
      <c r="B21" s="65" t="s">
        <v>40</v>
      </c>
      <c r="C21" s="61"/>
      <c r="F21" s="57"/>
      <c r="G21" s="123">
        <f>C19</f>
        <v>0.39901367690782957</v>
      </c>
      <c r="H21" s="104">
        <f t="shared" si="0"/>
        <v>81.500965711288089</v>
      </c>
      <c r="I21" s="105">
        <f t="shared" si="0"/>
        <v>53.331505237890852</v>
      </c>
      <c r="J21" s="59"/>
    </row>
    <row r="22" spans="2:10" ht="35.25" customHeight="1" thickBot="1">
      <c r="B22" s="62" t="s">
        <v>50</v>
      </c>
      <c r="C22" s="108">
        <f>sheet1!I21</f>
        <v>7.188302157575321</v>
      </c>
    </row>
    <row r="23" spans="2:10" ht="50.25" customHeight="1" thickBot="1">
      <c r="B23" s="135" t="str">
        <f>sheet1!B21</f>
        <v>試料懸濁原液量を増やして再試験してください</v>
      </c>
      <c r="C23" s="135"/>
      <c r="D23" s="135"/>
      <c r="E23" s="135"/>
      <c r="F23" s="74"/>
      <c r="G23" s="124" t="s">
        <v>62</v>
      </c>
      <c r="H23" s="106">
        <f>sheet1!H21</f>
        <v>3.7919492095882683</v>
      </c>
      <c r="I23" s="107">
        <f>sheet1!I21</f>
        <v>7.188302157575321</v>
      </c>
      <c r="J23" s="84"/>
    </row>
    <row r="24" spans="2:10" ht="50.25" customHeight="1" thickBot="1">
      <c r="B24" s="143" t="str">
        <f>sheet1!B22</f>
        <v>空試験溶液の2-MIB濃度が200 ng/L±40 ng/Lを逸脱、再試験してください</v>
      </c>
      <c r="C24" s="143"/>
      <c r="D24" s="143"/>
      <c r="E24" s="143"/>
      <c r="F24" s="75"/>
      <c r="G24" s="125" t="s">
        <v>11</v>
      </c>
      <c r="H24" s="109">
        <f>sheet1!H21</f>
        <v>3.7919492095882683</v>
      </c>
      <c r="I24" s="110">
        <f>sheet1!I21</f>
        <v>7.188302157575321</v>
      </c>
      <c r="J24" s="85"/>
    </row>
    <row r="25" spans="2:10" ht="24.75" customHeight="1">
      <c r="B25" s="136" t="s">
        <v>55</v>
      </c>
      <c r="C25" s="136"/>
      <c r="D25" s="136"/>
      <c r="E25" s="136"/>
      <c r="F25" s="75"/>
      <c r="G25" s="80"/>
      <c r="H25" s="79"/>
      <c r="I25" s="81"/>
      <c r="J25" s="85"/>
    </row>
    <row r="26" spans="2:10" ht="20.25" customHeight="1"/>
  </sheetData>
  <mergeCells count="10">
    <mergeCell ref="B1:I1"/>
    <mergeCell ref="E2:G2"/>
    <mergeCell ref="B23:E23"/>
    <mergeCell ref="B25:E25"/>
    <mergeCell ref="G6:G7"/>
    <mergeCell ref="H6:I6"/>
    <mergeCell ref="G16:G17"/>
    <mergeCell ref="H16:I16"/>
    <mergeCell ref="B24:E24"/>
    <mergeCell ref="E3:J3"/>
  </mergeCells>
  <phoneticPr fontId="1"/>
  <conditionalFormatting sqref="B24:B25">
    <cfRule type="cellIs" dxfId="4" priority="1" operator="equal">
      <formula>"再試験"</formula>
    </cfRule>
  </conditionalFormatting>
  <conditionalFormatting sqref="H24:J25">
    <cfRule type="cellIs" dxfId="3" priority="2" operator="equal">
      <formula>"再試験"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>&amp;C&amp;A</oddFooter>
  </headerFooter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258C-84CD-4A8F-9AD0-B584AA51706A}">
  <dimension ref="B2:O44"/>
  <sheetViews>
    <sheetView showGridLines="0" topLeftCell="A3" zoomScaleNormal="100" zoomScaleSheetLayoutView="70" workbookViewId="0">
      <selection activeCell="I7" sqref="I7"/>
    </sheetView>
  </sheetViews>
  <sheetFormatPr defaultColWidth="9" defaultRowHeight="18"/>
  <cols>
    <col min="1" max="1" width="1.296875" style="1" customWidth="1"/>
    <col min="2" max="2" width="22.19921875" style="1" customWidth="1"/>
    <col min="3" max="3" width="8.796875" style="1" customWidth="1"/>
    <col min="4" max="4" width="11.19921875" style="1" customWidth="1"/>
    <col min="5" max="5" width="5.19921875" style="1" customWidth="1"/>
    <col min="6" max="6" width="10" style="1" customWidth="1"/>
    <col min="7" max="7" width="15.19921875" style="1" customWidth="1"/>
    <col min="8" max="8" width="9" style="1"/>
    <col min="9" max="11" width="8.69921875" style="1" customWidth="1"/>
    <col min="12" max="12" width="2.19921875" style="1" customWidth="1"/>
    <col min="13" max="13" width="9" style="1"/>
    <col min="14" max="14" width="57.69921875" style="1" customWidth="1"/>
    <col min="15" max="15" width="7.69921875" style="1" customWidth="1"/>
    <col min="16" max="16" width="56" style="1" customWidth="1"/>
    <col min="17" max="17" width="9.69921875" style="1" customWidth="1"/>
    <col min="18" max="18" width="7.69921875" style="1" customWidth="1"/>
    <col min="19" max="19" width="7" style="1" bestFit="1" customWidth="1"/>
    <col min="20" max="20" width="8.69921875" style="1" bestFit="1" customWidth="1"/>
    <col min="21" max="16384" width="9" style="1"/>
  </cols>
  <sheetData>
    <row r="2" spans="2:15" ht="22.2">
      <c r="B2" s="2" t="s">
        <v>0</v>
      </c>
    </row>
    <row r="3" spans="2:15">
      <c r="B3" s="1" t="s">
        <v>27</v>
      </c>
    </row>
    <row r="4" spans="2:15" ht="22.8" thickBot="1">
      <c r="C4" s="3"/>
    </row>
    <row r="5" spans="2:15" ht="34.5" customHeight="1" thickBot="1">
      <c r="B5" s="4" t="s">
        <v>1</v>
      </c>
      <c r="C5" s="5">
        <f>'2-MIB価計算シート'!C5</f>
        <v>5.0449999999999999</v>
      </c>
      <c r="J5" s="6"/>
      <c r="K5" s="6"/>
      <c r="L5" s="6"/>
      <c r="M5" s="6"/>
      <c r="N5" s="6"/>
      <c r="O5" s="6"/>
    </row>
    <row r="6" spans="2:15" s="8" customFormat="1" ht="65.25" customHeight="1" thickBot="1">
      <c r="B6" s="7" t="s">
        <v>2</v>
      </c>
      <c r="C6" s="5">
        <f>'2-MIB価計算シート'!C6</f>
        <v>4.8390000000000004</v>
      </c>
      <c r="F6" s="9" t="s">
        <v>3</v>
      </c>
      <c r="G6" s="10"/>
      <c r="H6" s="11" t="s">
        <v>4</v>
      </c>
      <c r="I6" s="12" t="s">
        <v>5</v>
      </c>
      <c r="J6" s="1"/>
      <c r="K6" s="1"/>
      <c r="L6" s="1"/>
      <c r="M6" s="1"/>
      <c r="N6" s="1"/>
      <c r="O6" s="1"/>
    </row>
    <row r="7" spans="2:15" s="13" customFormat="1" ht="33.75" customHeight="1" thickBot="1">
      <c r="B7" s="4" t="s">
        <v>6</v>
      </c>
      <c r="C7" s="5">
        <f>'2-MIB価計算シート'!C7</f>
        <v>0.104</v>
      </c>
      <c r="E7" s="8" t="s">
        <v>7</v>
      </c>
      <c r="F7" s="14">
        <f>'2-MIB価計算シート'!G8</f>
        <v>16</v>
      </c>
      <c r="G7" s="15" t="str">
        <f>"活性炭"&amp;B13&amp;"ppm時の残留2-MIB濃度"</f>
        <v>活性炭8ppm時の残留2-MIB濃度</v>
      </c>
      <c r="H7" s="16">
        <f>'2-MIB価計算シート'!H8</f>
        <v>6.9</v>
      </c>
      <c r="I7" s="17">
        <f>'2-MIB価計算シート'!I8</f>
        <v>20.5</v>
      </c>
      <c r="J7" s="1"/>
      <c r="K7" s="1"/>
      <c r="L7" s="1"/>
      <c r="M7" s="1"/>
      <c r="N7" s="1"/>
      <c r="O7" s="1"/>
    </row>
    <row r="8" spans="2:15" ht="37.5" customHeight="1" thickBot="1">
      <c r="B8" s="18" t="s">
        <v>8</v>
      </c>
      <c r="C8" s="19">
        <f>C7*(C6/C5)</f>
        <v>9.9753419226957393E-2</v>
      </c>
      <c r="E8" s="8" t="s">
        <v>7</v>
      </c>
      <c r="F8" s="14">
        <f>'2-MIB価計算シート'!G9</f>
        <v>12</v>
      </c>
      <c r="G8" s="15" t="str">
        <f t="shared" ref="G8:G10" si="0">"活性炭"&amp;B14&amp;"ppm時の残留2-MIB濃度"</f>
        <v>活性炭6ppm時の残留2-MIB濃度</v>
      </c>
      <c r="H8" s="16">
        <f>'2-MIB価計算シート'!H9</f>
        <v>15.6</v>
      </c>
      <c r="I8" s="17">
        <f>'2-MIB価計算シート'!I9</f>
        <v>66</v>
      </c>
    </row>
    <row r="9" spans="2:15" ht="25.05" customHeight="1" thickBot="1">
      <c r="B9" s="8"/>
      <c r="C9" s="20"/>
      <c r="E9" s="8" t="s">
        <v>7</v>
      </c>
      <c r="F9" s="14">
        <f>'2-MIB価計算シート'!G10</f>
        <v>8</v>
      </c>
      <c r="G9" s="15" t="str">
        <f t="shared" si="0"/>
        <v>活性炭4ppm時の残留2-MIB濃度</v>
      </c>
      <c r="H9" s="16">
        <f>'2-MIB価計算シート'!H10</f>
        <v>17.899999999999999</v>
      </c>
      <c r="I9" s="17">
        <f>'2-MIB価計算シート'!I10</f>
        <v>92.2</v>
      </c>
    </row>
    <row r="10" spans="2:15" ht="25.05" customHeight="1">
      <c r="B10" s="8"/>
      <c r="C10" s="20"/>
      <c r="E10" s="8" t="s">
        <v>7</v>
      </c>
      <c r="F10" s="14">
        <f>'2-MIB価計算シート'!G11</f>
        <v>4</v>
      </c>
      <c r="G10" s="15" t="str">
        <f t="shared" si="0"/>
        <v>活性炭2ppm時の残留2-MIB濃度</v>
      </c>
      <c r="H10" s="16">
        <f>'2-MIB価計算シート'!H11</f>
        <v>76.3</v>
      </c>
      <c r="I10" s="17">
        <f>'2-MIB価計算シート'!I11</f>
        <v>134.6</v>
      </c>
    </row>
    <row r="11" spans="2:15" ht="25.05" customHeight="1" thickBot="1">
      <c r="C11" s="20"/>
      <c r="F11" s="21">
        <v>0</v>
      </c>
      <c r="G11" s="22" t="s">
        <v>34</v>
      </c>
      <c r="H11" s="16">
        <f>'2-MIB価計算シート'!H12</f>
        <v>238.9</v>
      </c>
      <c r="I11" s="17">
        <f>'2-MIB価計算シート'!I12</f>
        <v>241</v>
      </c>
    </row>
    <row r="12" spans="2:15" ht="54.6" thickBot="1">
      <c r="B12" s="23" t="s">
        <v>9</v>
      </c>
      <c r="C12" s="24" t="s">
        <v>10</v>
      </c>
      <c r="F12" s="25" t="s">
        <v>10</v>
      </c>
      <c r="G12" s="26" t="s">
        <v>11</v>
      </c>
      <c r="H12" s="27" t="str">
        <f>IF(H$11&lt;160,"再試験",IF(H$11&gt;240,"再試験","OK"))</f>
        <v>OK</v>
      </c>
      <c r="I12" s="27" t="str">
        <f t="shared" ref="I12" si="1">IF(I$11&lt;160,"再試験",IF(I$11&gt;240,"再試験","OK"))</f>
        <v>再試験</v>
      </c>
    </row>
    <row r="13" spans="2:15" ht="25.05" customHeight="1">
      <c r="B13" s="28">
        <f>F7/2</f>
        <v>8</v>
      </c>
      <c r="C13" s="29">
        <f>C$8*F7</f>
        <v>1.5960547076313183</v>
      </c>
      <c r="E13" s="8" t="s">
        <v>12</v>
      </c>
      <c r="F13" s="30">
        <f>C13</f>
        <v>1.5960547076313183</v>
      </c>
      <c r="G13" s="31" t="str">
        <f>"活性炭"&amp;B13&amp;"ppm時AC1mgあたりの吸着量ng"</f>
        <v>活性炭8ppm時AC1mgあたりの吸着量ng</v>
      </c>
      <c r="H13" s="32">
        <f>(H$11-H7)*0.2/$C13</f>
        <v>29.071685186068322</v>
      </c>
      <c r="I13" s="32">
        <f t="shared" ref="I13:I16" si="2">(I$11-I7)*0.2/$C13</f>
        <v>27.630631825552005</v>
      </c>
    </row>
    <row r="14" spans="2:15" ht="25.05" customHeight="1">
      <c r="B14" s="28">
        <f t="shared" ref="B14:B16" si="3">F8/2</f>
        <v>6</v>
      </c>
      <c r="C14" s="29">
        <f t="shared" ref="C14:C16" si="4">C$8*F8</f>
        <v>1.1970410307234887</v>
      </c>
      <c r="E14" s="8" t="s">
        <v>12</v>
      </c>
      <c r="F14" s="30">
        <f t="shared" ref="F14:F16" si="5">C14</f>
        <v>1.1970410307234887</v>
      </c>
      <c r="G14" s="10" t="str">
        <f t="shared" ref="G14:G16" si="6">"活性炭"&amp;B14&amp;"ppm時AC1mgあたりの吸着量ng"</f>
        <v>活性炭6ppm時AC1mgあたりの吸着量ng</v>
      </c>
      <c r="H14" s="33">
        <f t="shared" ref="H14:H16" si="7">(H$11-H8)*0.2/$C14</f>
        <v>37.308662655454349</v>
      </c>
      <c r="I14" s="33">
        <f t="shared" si="2"/>
        <v>29.238763836562967</v>
      </c>
    </row>
    <row r="15" spans="2:15" ht="25.05" customHeight="1">
      <c r="B15" s="28">
        <f t="shared" si="3"/>
        <v>4</v>
      </c>
      <c r="C15" s="29">
        <f t="shared" si="4"/>
        <v>0.79802735381565915</v>
      </c>
      <c r="E15" s="8" t="s">
        <v>12</v>
      </c>
      <c r="F15" s="30">
        <f t="shared" si="5"/>
        <v>0.79802735381565915</v>
      </c>
      <c r="G15" s="10" t="str">
        <f t="shared" si="6"/>
        <v>活性炭4ppm時AC1mgあたりの吸着量ng</v>
      </c>
      <c r="H15" s="33">
        <f t="shared" si="7"/>
        <v>55.38657263897499</v>
      </c>
      <c r="I15" s="33">
        <f t="shared" si="2"/>
        <v>37.291954790404887</v>
      </c>
    </row>
    <row r="16" spans="2:15" ht="25.05" customHeight="1">
      <c r="B16" s="28">
        <f t="shared" si="3"/>
        <v>2</v>
      </c>
      <c r="C16" s="29">
        <f t="shared" si="4"/>
        <v>0.39901367690782957</v>
      </c>
      <c r="E16" s="8" t="s">
        <v>12</v>
      </c>
      <c r="F16" s="30">
        <f t="shared" si="5"/>
        <v>0.39901367690782957</v>
      </c>
      <c r="G16" s="10" t="str">
        <f t="shared" si="6"/>
        <v>活性炭2ppm時AC1mgあたりの吸着量ng</v>
      </c>
      <c r="H16" s="33">
        <f t="shared" si="7"/>
        <v>81.500965711288089</v>
      </c>
      <c r="I16" s="33">
        <f t="shared" si="2"/>
        <v>53.331505237890852</v>
      </c>
    </row>
    <row r="17" spans="2:10" ht="25.05" customHeight="1">
      <c r="D17" s="146" t="s">
        <v>29</v>
      </c>
      <c r="E17" s="146"/>
      <c r="F17" s="146"/>
      <c r="G17" s="146"/>
      <c r="H17" s="34" t="str">
        <f>IF(MIN(H7:H10)&gt;20,"NO","YES")</f>
        <v>YES</v>
      </c>
      <c r="I17" s="34" t="str">
        <f>IF(MIN(I7:I10)&gt;20,"NO","YES")</f>
        <v>NO</v>
      </c>
    </row>
    <row r="18" spans="2:10" ht="25.05" customHeight="1">
      <c r="B18" s="35"/>
      <c r="F18" s="36"/>
      <c r="G18" s="37" t="s">
        <v>13</v>
      </c>
      <c r="H18" s="38">
        <f>10^(INDEX(LINEST(LOG10(H13:H16),LOG10(H7:H10)),2))</f>
        <v>13.109733197708019</v>
      </c>
      <c r="I18" s="38">
        <f>10^(INDEX(LINEST(LOG10(I13:I16),LOG10(I7:I10)),2))</f>
        <v>10.117381993560329</v>
      </c>
    </row>
    <row r="19" spans="2:10" ht="25.05" customHeight="1">
      <c r="B19" s="8"/>
      <c r="F19" s="36"/>
      <c r="G19" s="37" t="s">
        <v>14</v>
      </c>
      <c r="H19" s="38">
        <f>LINEST(LOG10(H13:H16),LOG10(H7:H10),)</f>
        <v>0.42951826020155343</v>
      </c>
      <c r="I19" s="38">
        <f>LINEST(LOG10(I13:I16),LOG10(I7:I10),)</f>
        <v>0.3025126512001558</v>
      </c>
    </row>
    <row r="20" spans="2:10" ht="25.05" customHeight="1">
      <c r="F20" s="36"/>
      <c r="G20" s="37" t="s">
        <v>15</v>
      </c>
      <c r="H20" s="39">
        <f>H18*(20^H19)</f>
        <v>47.468990234588212</v>
      </c>
      <c r="I20" s="38">
        <f>I18*(20^I19)</f>
        <v>25.040683607089164</v>
      </c>
    </row>
    <row r="21" spans="2:10" ht="39" customHeight="1" thickBot="1">
      <c r="B21" s="147" t="str">
        <f>IF(MIN(I7:I11)&gt;20,"試料懸濁原液量を増やして再試験してください","")</f>
        <v>試料懸濁原液量を増やして再試験してください</v>
      </c>
      <c r="C21" s="147"/>
      <c r="D21" s="147"/>
      <c r="E21" s="40"/>
      <c r="F21" s="41"/>
      <c r="G21" s="42" t="s">
        <v>16</v>
      </c>
      <c r="H21" s="43">
        <f>180/H20</f>
        <v>3.7919492095882683</v>
      </c>
      <c r="I21" s="44">
        <f>180/I20</f>
        <v>7.188302157575321</v>
      </c>
    </row>
    <row r="22" spans="2:10" ht="27" thickBot="1">
      <c r="B22" s="148" t="str">
        <f>IF($I$11&lt;160,"空試験溶液の2-MIB濃度が200 ng/L±40 ng/Lを逸脱、再試験してください",IF(I11&gt;240,"空試験溶液の2-MIB濃度が200 ng/L±40 ng/Lを逸脱、再試験してください",""))</f>
        <v>空試験溶液の2-MIB濃度が200 ng/L±40 ng/Lを逸脱、再試験してください</v>
      </c>
      <c r="C22" s="149"/>
      <c r="D22" s="149"/>
      <c r="E22" s="149"/>
      <c r="G22" s="26" t="s">
        <v>11</v>
      </c>
      <c r="H22" s="27" t="str">
        <f>IF(H$12="OK",IF(H$17="YES","OK","out"),"再試験")</f>
        <v>OK</v>
      </c>
      <c r="I22" s="27" t="str">
        <f>IF(I$12="OK",IF(I$17="YES","OK","再試験"),"再試験")</f>
        <v>再試験</v>
      </c>
    </row>
    <row r="23" spans="2:10">
      <c r="E23" s="1" t="s">
        <v>17</v>
      </c>
    </row>
    <row r="24" spans="2:10">
      <c r="D24" s="45" t="s">
        <v>13</v>
      </c>
      <c r="E24" s="38" t="s">
        <v>18</v>
      </c>
      <c r="F24" s="46"/>
      <c r="G24" s="46"/>
      <c r="H24" s="46"/>
      <c r="I24" s="46"/>
      <c r="J24" s="38">
        <f>10^(INDEX(LINEST(LOG10(I13:I16),LOG10(I7:I10)),2))</f>
        <v>10.117381993560329</v>
      </c>
    </row>
    <row r="25" spans="2:10">
      <c r="D25" s="45" t="s">
        <v>14</v>
      </c>
      <c r="E25" s="38" t="s">
        <v>19</v>
      </c>
      <c r="F25" s="46"/>
      <c r="G25" s="46"/>
      <c r="H25" s="46"/>
      <c r="I25" s="46"/>
      <c r="J25" s="38">
        <f>LINEST(LOG10(I13:I16),LOG10(I7:I10))</f>
        <v>0.3025126512001558</v>
      </c>
    </row>
    <row r="26" spans="2:10">
      <c r="D26" s="45" t="s">
        <v>35</v>
      </c>
      <c r="E26" s="39" t="s">
        <v>20</v>
      </c>
      <c r="F26" s="46"/>
      <c r="G26" s="46"/>
      <c r="H26" s="46"/>
      <c r="I26" s="46"/>
      <c r="J26" s="38">
        <f>J24*(20^J25)</f>
        <v>25.040683607089164</v>
      </c>
    </row>
    <row r="27" spans="2:10">
      <c r="D27" s="45" t="s">
        <v>21</v>
      </c>
      <c r="E27" s="39" t="s">
        <v>22</v>
      </c>
      <c r="F27" s="46"/>
      <c r="G27" s="46"/>
      <c r="H27" s="46"/>
      <c r="I27" s="46"/>
      <c r="J27" s="44">
        <f>180/J26</f>
        <v>7.188302157575321</v>
      </c>
    </row>
    <row r="28" spans="2:10">
      <c r="C28" s="47"/>
      <c r="D28" s="45" t="s">
        <v>23</v>
      </c>
      <c r="E28" s="48" t="s">
        <v>24</v>
      </c>
      <c r="F28" s="46"/>
      <c r="G28" s="46"/>
      <c r="H28" s="46"/>
      <c r="I28" s="46"/>
      <c r="J28" s="49"/>
    </row>
    <row r="33" spans="5:11">
      <c r="G33" s="50" t="s">
        <v>25</v>
      </c>
      <c r="H33" s="51" t="s">
        <v>4</v>
      </c>
      <c r="I33" s="52" t="str">
        <f>I6</f>
        <v>測定値記入欄</v>
      </c>
      <c r="J33" s="52" t="e">
        <f>#REF!</f>
        <v>#REF!</v>
      </c>
      <c r="K33" s="52" t="e">
        <f>#REF!</f>
        <v>#REF!</v>
      </c>
    </row>
    <row r="34" spans="5:11" ht="26.4">
      <c r="E34" s="8"/>
      <c r="F34" s="23" t="s">
        <v>9</v>
      </c>
      <c r="G34" s="53" t="s">
        <v>36</v>
      </c>
      <c r="H34" s="52" t="e">
        <f>#REF!</f>
        <v>#REF!</v>
      </c>
      <c r="I34" s="52" t="e">
        <f>#REF!</f>
        <v>#REF!</v>
      </c>
      <c r="J34" s="52" t="e">
        <f>#REF!</f>
        <v>#REF!</v>
      </c>
      <c r="K34" s="52" t="e">
        <f>#REF!</f>
        <v>#REF!</v>
      </c>
    </row>
    <row r="35" spans="5:11" ht="26.4">
      <c r="E35" s="8" t="s">
        <v>7</v>
      </c>
      <c r="F35" s="28">
        <v>10</v>
      </c>
      <c r="G35" s="53" t="str">
        <f>"活性炭"&amp;F35&amp;"ppm時の残留2-MIB濃度"</f>
        <v>活性炭10ppm時の残留2-MIB濃度</v>
      </c>
      <c r="H35" s="52">
        <f t="shared" ref="H35:I44" si="8">H7</f>
        <v>6.9</v>
      </c>
      <c r="I35" s="52">
        <f t="shared" si="8"/>
        <v>20.5</v>
      </c>
      <c r="J35" s="52" t="e">
        <f>#REF!</f>
        <v>#REF!</v>
      </c>
      <c r="K35" s="52" t="e">
        <f>#REF!</f>
        <v>#REF!</v>
      </c>
    </row>
    <row r="36" spans="5:11" ht="26.4">
      <c r="E36" s="8" t="s">
        <v>7</v>
      </c>
      <c r="F36" s="28">
        <v>5</v>
      </c>
      <c r="G36" s="53" t="str">
        <f>"活性炭"&amp;F36&amp;"ppm時の残留2-MIB濃度"</f>
        <v>活性炭5ppm時の残留2-MIB濃度</v>
      </c>
      <c r="H36" s="52">
        <f t="shared" si="8"/>
        <v>15.6</v>
      </c>
      <c r="I36" s="52">
        <f t="shared" si="8"/>
        <v>66</v>
      </c>
      <c r="J36" s="52" t="e">
        <f>#REF!</f>
        <v>#REF!</v>
      </c>
      <c r="K36" s="52" t="e">
        <f>#REF!</f>
        <v>#REF!</v>
      </c>
    </row>
    <row r="37" spans="5:11" ht="26.4">
      <c r="E37" s="8" t="s">
        <v>7</v>
      </c>
      <c r="F37" s="28">
        <v>2</v>
      </c>
      <c r="G37" s="53" t="str">
        <f>"活性炭"&amp;F37&amp;"ppm時の残留2-MIB濃度"</f>
        <v>活性炭2ppm時の残留2-MIB濃度</v>
      </c>
      <c r="H37" s="52">
        <f t="shared" si="8"/>
        <v>17.899999999999999</v>
      </c>
      <c r="I37" s="52">
        <f t="shared" si="8"/>
        <v>92.2</v>
      </c>
      <c r="J37" s="52" t="e">
        <f>#REF!</f>
        <v>#REF!</v>
      </c>
      <c r="K37" s="52" t="e">
        <f>#REF!</f>
        <v>#REF!</v>
      </c>
    </row>
    <row r="38" spans="5:11" ht="26.4">
      <c r="E38" s="8" t="s">
        <v>7</v>
      </c>
      <c r="F38" s="28">
        <v>1</v>
      </c>
      <c r="G38" s="53" t="str">
        <f>"活性炭"&amp;F38&amp;"ppm時の残留2-MIB濃度"</f>
        <v>活性炭1ppm時の残留2-MIB濃度</v>
      </c>
      <c r="H38" s="52">
        <f t="shared" si="8"/>
        <v>76.3</v>
      </c>
      <c r="I38" s="52">
        <f t="shared" si="8"/>
        <v>134.6</v>
      </c>
      <c r="J38" s="52" t="e">
        <f>#REF!</f>
        <v>#REF!</v>
      </c>
      <c r="K38" s="52" t="e">
        <f>#REF!</f>
        <v>#REF!</v>
      </c>
    </row>
    <row r="39" spans="5:11" ht="39.6">
      <c r="F39" s="28">
        <v>0</v>
      </c>
      <c r="G39" s="53" t="s">
        <v>34</v>
      </c>
      <c r="H39" s="52">
        <f t="shared" si="8"/>
        <v>238.9</v>
      </c>
      <c r="I39" s="52">
        <f t="shared" si="8"/>
        <v>241</v>
      </c>
      <c r="J39" s="52" t="e">
        <f>#REF!</f>
        <v>#REF!</v>
      </c>
      <c r="K39" s="52" t="e">
        <f>#REF!</f>
        <v>#REF!</v>
      </c>
    </row>
    <row r="40" spans="5:11" ht="36">
      <c r="F40" s="23" t="s">
        <v>26</v>
      </c>
      <c r="G40" s="53"/>
      <c r="H40" s="52" t="str">
        <f t="shared" si="8"/>
        <v>OK</v>
      </c>
      <c r="I40" s="52" t="str">
        <f t="shared" si="8"/>
        <v>再試験</v>
      </c>
      <c r="J40" s="52" t="e">
        <f>#REF!</f>
        <v>#REF!</v>
      </c>
      <c r="K40" s="52" t="e">
        <f>#REF!</f>
        <v>#REF!</v>
      </c>
    </row>
    <row r="41" spans="5:11" ht="26.4">
      <c r="E41" s="8" t="s">
        <v>12</v>
      </c>
      <c r="F41" s="28">
        <f>F35/5</f>
        <v>2</v>
      </c>
      <c r="G41" s="53" t="str">
        <f>"活性炭"&amp;F35&amp;"ppm時AC1mgあたりの吸着量ng"</f>
        <v>活性炭10ppm時AC1mgあたりの吸着量ng</v>
      </c>
      <c r="H41" s="52">
        <f t="shared" si="8"/>
        <v>29.071685186068322</v>
      </c>
      <c r="I41" s="52">
        <f t="shared" si="8"/>
        <v>27.630631825552005</v>
      </c>
      <c r="J41" s="52" t="e">
        <f>#REF!</f>
        <v>#REF!</v>
      </c>
      <c r="K41" s="52" t="e">
        <f>#REF!</f>
        <v>#REF!</v>
      </c>
    </row>
    <row r="42" spans="5:11" ht="26.4">
      <c r="E42" s="8" t="s">
        <v>12</v>
      </c>
      <c r="F42" s="28">
        <f>F36/5</f>
        <v>1</v>
      </c>
      <c r="G42" s="53" t="str">
        <f>"活性炭"&amp;F36&amp;"ppm時AC1mgあたりの吸着量ng"</f>
        <v>活性炭5ppm時AC1mgあたりの吸着量ng</v>
      </c>
      <c r="H42" s="52">
        <f t="shared" si="8"/>
        <v>37.308662655454349</v>
      </c>
      <c r="I42" s="52">
        <f t="shared" si="8"/>
        <v>29.238763836562967</v>
      </c>
      <c r="J42" s="52" t="e">
        <f>#REF!</f>
        <v>#REF!</v>
      </c>
      <c r="K42" s="52" t="e">
        <f>#REF!</f>
        <v>#REF!</v>
      </c>
    </row>
    <row r="43" spans="5:11" ht="26.4">
      <c r="E43" s="8" t="s">
        <v>12</v>
      </c>
      <c r="F43" s="28">
        <f>F37/5</f>
        <v>0.4</v>
      </c>
      <c r="G43" s="53" t="str">
        <f>"活性炭"&amp;F37&amp;"ppm時AC1mgあたりの吸着量ng"</f>
        <v>活性炭2ppm時AC1mgあたりの吸着量ng</v>
      </c>
      <c r="H43" s="52">
        <f t="shared" si="8"/>
        <v>55.38657263897499</v>
      </c>
      <c r="I43" s="52">
        <f t="shared" si="8"/>
        <v>37.291954790404887</v>
      </c>
      <c r="J43" s="52" t="e">
        <f>#REF!</f>
        <v>#REF!</v>
      </c>
      <c r="K43" s="52" t="e">
        <f>#REF!</f>
        <v>#REF!</v>
      </c>
    </row>
    <row r="44" spans="5:11" ht="26.4">
      <c r="E44" s="8" t="s">
        <v>12</v>
      </c>
      <c r="F44" s="28">
        <f>F38/5</f>
        <v>0.2</v>
      </c>
      <c r="G44" s="53" t="str">
        <f>"活性炭"&amp;F38&amp;"ppm時AC1mgあたりの吸着量ng"</f>
        <v>活性炭1ppm時AC1mgあたりの吸着量ng</v>
      </c>
      <c r="H44" s="52">
        <f t="shared" si="8"/>
        <v>81.500965711288089</v>
      </c>
      <c r="I44" s="52">
        <f t="shared" si="8"/>
        <v>53.331505237890852</v>
      </c>
      <c r="J44" s="52" t="e">
        <f>#REF!</f>
        <v>#REF!</v>
      </c>
      <c r="K44" s="52" t="e">
        <f>#REF!</f>
        <v>#REF!</v>
      </c>
    </row>
  </sheetData>
  <sheetProtection selectLockedCells="1" selectUnlockedCells="1"/>
  <mergeCells count="3">
    <mergeCell ref="D17:G17"/>
    <mergeCell ref="B21:D21"/>
    <mergeCell ref="B22:E22"/>
  </mergeCells>
  <phoneticPr fontId="1"/>
  <conditionalFormatting sqref="B22">
    <cfRule type="cellIs" dxfId="2" priority="1" operator="equal">
      <formula>"再試験"</formula>
    </cfRule>
  </conditionalFormatting>
  <conditionalFormatting sqref="H12">
    <cfRule type="cellIs" dxfId="1" priority="3" operator="equal">
      <formula>"再試験"</formula>
    </cfRule>
  </conditionalFormatting>
  <conditionalFormatting sqref="H22:I22">
    <cfRule type="cellIs" dxfId="0" priority="2" operator="equal">
      <formula>"再試験"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&amp;C&amp;A</oddFooter>
  </headerFooter>
  <rowBreaks count="1" manualBreakCount="1">
    <brk id="45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2-MIB価計算シート</vt:lpstr>
      <vt:lpstr>sheet1</vt:lpstr>
      <vt:lpstr>'2-MIB価計算シート'!Print_Area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suishitsu-01</dc:creator>
  <cp:lastModifiedBy>kitamura</cp:lastModifiedBy>
  <cp:lastPrinted>2025-08-07T07:05:05Z</cp:lastPrinted>
  <dcterms:created xsi:type="dcterms:W3CDTF">2025-03-14T04:41:07Z</dcterms:created>
  <dcterms:modified xsi:type="dcterms:W3CDTF">2026-03-11T02:06:19Z</dcterms:modified>
</cp:coreProperties>
</file>